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22980" windowHeight="9285"/>
  </bookViews>
  <sheets>
    <sheet name="меню" sheetId="1" r:id="rId1"/>
  </sheets>
  <externalReferences>
    <externalReference r:id="rId2"/>
  </externalReferences>
  <calcPr calcId="145621" refMode="R1C1"/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C10" i="1"/>
  <c r="D10" i="1"/>
  <c r="E10" i="1"/>
  <c r="F10" i="1"/>
  <c r="G10" i="1"/>
  <c r="C12" i="1"/>
  <c r="D12" i="1"/>
  <c r="E12" i="1"/>
  <c r="F12" i="1"/>
  <c r="G12" i="1"/>
  <c r="B13" i="1"/>
  <c r="C13" i="1"/>
  <c r="D13" i="1"/>
  <c r="E13" i="1"/>
  <c r="F13" i="1"/>
  <c r="G13" i="1"/>
  <c r="C14" i="1"/>
  <c r="D14" i="1"/>
  <c r="E14" i="1"/>
  <c r="F14" i="1"/>
  <c r="G14" i="1"/>
  <c r="C15" i="1"/>
  <c r="D15" i="1"/>
  <c r="D24" i="1" s="1"/>
  <c r="E15" i="1"/>
  <c r="F15" i="1"/>
  <c r="G15" i="1"/>
  <c r="B16" i="1"/>
  <c r="C16" i="1"/>
  <c r="D16" i="1"/>
  <c r="E16" i="1"/>
  <c r="F16" i="1"/>
  <c r="G16" i="1"/>
  <c r="B17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B23" i="1"/>
  <c r="C23" i="1"/>
  <c r="D23" i="1"/>
  <c r="E23" i="1"/>
  <c r="F23" i="1"/>
  <c r="G23" i="1"/>
  <c r="E24" i="1"/>
  <c r="C27" i="1"/>
  <c r="D27" i="1"/>
  <c r="E27" i="1"/>
  <c r="F27" i="1"/>
  <c r="G27" i="1"/>
  <c r="B28" i="1"/>
  <c r="C28" i="1"/>
  <c r="D28" i="1"/>
  <c r="E28" i="1"/>
  <c r="F28" i="1"/>
  <c r="G28" i="1"/>
  <c r="C29" i="1"/>
  <c r="D29" i="1"/>
  <c r="E29" i="1"/>
  <c r="F29" i="1"/>
  <c r="G29" i="1"/>
  <c r="B30" i="1"/>
  <c r="C30" i="1"/>
  <c r="D30" i="1"/>
  <c r="E30" i="1"/>
  <c r="E41" i="1" s="1"/>
  <c r="F30" i="1"/>
  <c r="G30" i="1"/>
  <c r="C31" i="1"/>
  <c r="D31" i="1"/>
  <c r="E31" i="1"/>
  <c r="F31" i="1"/>
  <c r="G31" i="1"/>
  <c r="B32" i="1"/>
  <c r="C32" i="1"/>
  <c r="D32" i="1"/>
  <c r="E32" i="1"/>
  <c r="F32" i="1"/>
  <c r="G32" i="1"/>
  <c r="B33" i="1"/>
  <c r="C33" i="1"/>
  <c r="D33" i="1"/>
  <c r="E33" i="1"/>
  <c r="F33" i="1"/>
  <c r="G33" i="1"/>
  <c r="B34" i="1"/>
  <c r="C34" i="1"/>
  <c r="D34" i="1"/>
  <c r="E34" i="1"/>
  <c r="F34" i="1"/>
  <c r="G34" i="1"/>
  <c r="C35" i="1"/>
  <c r="G35" i="1"/>
  <c r="B36" i="1"/>
  <c r="C36" i="1"/>
  <c r="D36" i="1"/>
  <c r="E36" i="1"/>
  <c r="F36" i="1"/>
  <c r="G36" i="1"/>
  <c r="B37" i="1"/>
  <c r="C37" i="1"/>
  <c r="D37" i="1"/>
  <c r="E37" i="1"/>
  <c r="F37" i="1"/>
  <c r="G37" i="1"/>
  <c r="B38" i="1"/>
  <c r="C38" i="1"/>
  <c r="D38" i="1"/>
  <c r="E38" i="1"/>
  <c r="F38" i="1"/>
  <c r="G38" i="1"/>
  <c r="C39" i="1"/>
  <c r="D39" i="1"/>
  <c r="E39" i="1"/>
  <c r="F39" i="1"/>
  <c r="G39" i="1"/>
  <c r="B40" i="1"/>
  <c r="C40" i="1"/>
  <c r="D40" i="1"/>
  <c r="E40" i="1"/>
  <c r="F40" i="1"/>
  <c r="G40" i="1"/>
  <c r="G41" i="1"/>
  <c r="B44" i="1"/>
  <c r="C44" i="1"/>
  <c r="D44" i="1"/>
  <c r="E44" i="1"/>
  <c r="F44" i="1"/>
  <c r="G44" i="1"/>
  <c r="B45" i="1"/>
  <c r="C45" i="1"/>
  <c r="D45" i="1"/>
  <c r="E45" i="1"/>
  <c r="F45" i="1"/>
  <c r="G45" i="1"/>
  <c r="B46" i="1"/>
  <c r="C46" i="1"/>
  <c r="D46" i="1"/>
  <c r="E46" i="1"/>
  <c r="F46" i="1"/>
  <c r="G46" i="1"/>
  <c r="B47" i="1"/>
  <c r="C47" i="1"/>
  <c r="D47" i="1"/>
  <c r="E47" i="1"/>
  <c r="F47" i="1"/>
  <c r="G47" i="1"/>
  <c r="B48" i="1"/>
  <c r="C48" i="1"/>
  <c r="D48" i="1"/>
  <c r="E48" i="1"/>
  <c r="F48" i="1"/>
  <c r="G48" i="1"/>
  <c r="C49" i="1"/>
  <c r="D49" i="1"/>
  <c r="E49" i="1"/>
  <c r="F49" i="1"/>
  <c r="F59" i="1" s="1"/>
  <c r="G49" i="1"/>
  <c r="B50" i="1"/>
  <c r="C50" i="1"/>
  <c r="D50" i="1"/>
  <c r="E50" i="1"/>
  <c r="F50" i="1"/>
  <c r="G50" i="1"/>
  <c r="B51" i="1"/>
  <c r="C51" i="1"/>
  <c r="D51" i="1"/>
  <c r="E51" i="1"/>
  <c r="F51" i="1"/>
  <c r="G51" i="1"/>
  <c r="C52" i="1"/>
  <c r="D52" i="1"/>
  <c r="E52" i="1"/>
  <c r="F52" i="1"/>
  <c r="G52" i="1"/>
  <c r="B53" i="1"/>
  <c r="C53" i="1"/>
  <c r="D53" i="1"/>
  <c r="E53" i="1"/>
  <c r="F53" i="1"/>
  <c r="G53" i="1"/>
  <c r="B54" i="1"/>
  <c r="C54" i="1"/>
  <c r="D54" i="1"/>
  <c r="E54" i="1"/>
  <c r="F54" i="1"/>
  <c r="G54" i="1"/>
  <c r="B55" i="1"/>
  <c r="C55" i="1"/>
  <c r="D55" i="1"/>
  <c r="E55" i="1"/>
  <c r="F55" i="1"/>
  <c r="G55" i="1"/>
  <c r="B56" i="1"/>
  <c r="C56" i="1"/>
  <c r="D56" i="1"/>
  <c r="E56" i="1"/>
  <c r="F56" i="1"/>
  <c r="G56" i="1"/>
  <c r="B57" i="1"/>
  <c r="C57" i="1"/>
  <c r="D57" i="1"/>
  <c r="E57" i="1"/>
  <c r="F57" i="1"/>
  <c r="G57" i="1"/>
  <c r="B58" i="1"/>
  <c r="C58" i="1"/>
  <c r="D58" i="1"/>
  <c r="E58" i="1"/>
  <c r="F58" i="1"/>
  <c r="G58" i="1"/>
  <c r="B62" i="1"/>
  <c r="C62" i="1"/>
  <c r="F62" i="1"/>
  <c r="F77" i="1" s="1"/>
  <c r="G62" i="1"/>
  <c r="B63" i="1"/>
  <c r="C63" i="1"/>
  <c r="B64" i="1"/>
  <c r="C64" i="1"/>
  <c r="B65" i="1"/>
  <c r="C65" i="1"/>
  <c r="B66" i="1"/>
  <c r="C66" i="1"/>
  <c r="B67" i="1"/>
  <c r="C67" i="1"/>
  <c r="D67" i="1"/>
  <c r="E67" i="1"/>
  <c r="F67" i="1"/>
  <c r="G67" i="1"/>
  <c r="B68" i="1"/>
  <c r="C68" i="1"/>
  <c r="D68" i="1"/>
  <c r="E68" i="1"/>
  <c r="F68" i="1"/>
  <c r="G68" i="1"/>
  <c r="B69" i="1"/>
  <c r="C69" i="1"/>
  <c r="B70" i="1"/>
  <c r="C70" i="1"/>
  <c r="B71" i="1"/>
  <c r="C71" i="1"/>
  <c r="D71" i="1"/>
  <c r="E71" i="1"/>
  <c r="F71" i="1"/>
  <c r="G71" i="1"/>
  <c r="B72" i="1"/>
  <c r="C72" i="1"/>
  <c r="D72" i="1"/>
  <c r="E72" i="1"/>
  <c r="F72" i="1"/>
  <c r="G72" i="1"/>
  <c r="B73" i="1"/>
  <c r="C73" i="1"/>
  <c r="C74" i="1"/>
  <c r="D74" i="1"/>
  <c r="E74" i="1"/>
  <c r="F74" i="1"/>
  <c r="G74" i="1"/>
  <c r="G77" i="1" s="1"/>
  <c r="B75" i="1"/>
  <c r="C75" i="1"/>
  <c r="B76" i="1"/>
  <c r="C76" i="1"/>
  <c r="B80" i="1"/>
  <c r="C80" i="1"/>
  <c r="E80" i="1"/>
  <c r="E95" i="1" s="1"/>
  <c r="B81" i="1"/>
  <c r="C81" i="1"/>
  <c r="B82" i="1"/>
  <c r="C82" i="1"/>
  <c r="B83" i="1"/>
  <c r="C83" i="1"/>
  <c r="B84" i="1"/>
  <c r="C84" i="1"/>
  <c r="B85" i="1"/>
  <c r="C85" i="1"/>
  <c r="D85" i="1"/>
  <c r="E85" i="1"/>
  <c r="F85" i="1"/>
  <c r="G85" i="1"/>
  <c r="C86" i="1"/>
  <c r="D86" i="1"/>
  <c r="E86" i="1"/>
  <c r="F86" i="1"/>
  <c r="G86" i="1"/>
  <c r="B87" i="1"/>
  <c r="C87" i="1"/>
  <c r="G87" i="1"/>
  <c r="B88" i="1"/>
  <c r="C88" i="1"/>
  <c r="F88" i="1"/>
  <c r="G88" i="1"/>
  <c r="C89" i="1"/>
  <c r="D89" i="1"/>
  <c r="E89" i="1"/>
  <c r="F89" i="1"/>
  <c r="G89" i="1"/>
  <c r="B90" i="1"/>
  <c r="C90" i="1"/>
  <c r="D90" i="1"/>
  <c r="E90" i="1"/>
  <c r="F90" i="1"/>
  <c r="G90" i="1"/>
  <c r="B91" i="1"/>
  <c r="C91" i="1"/>
  <c r="B92" i="1"/>
  <c r="C92" i="1"/>
  <c r="D92" i="1"/>
  <c r="E92" i="1"/>
  <c r="F92" i="1"/>
  <c r="G92" i="1"/>
  <c r="B93" i="1"/>
  <c r="C93" i="1"/>
  <c r="B94" i="1"/>
  <c r="C94" i="1"/>
  <c r="B98" i="1"/>
  <c r="C98" i="1"/>
  <c r="G98" i="1"/>
  <c r="B99" i="1"/>
  <c r="C99" i="1"/>
  <c r="B100" i="1"/>
  <c r="C100" i="1"/>
  <c r="B101" i="1"/>
  <c r="C101" i="1"/>
  <c r="B102" i="1"/>
  <c r="C102" i="1"/>
  <c r="C103" i="1"/>
  <c r="D103" i="1"/>
  <c r="E103" i="1"/>
  <c r="E113" i="1" s="1"/>
  <c r="F103" i="1"/>
  <c r="F113" i="1" s="1"/>
  <c r="G103" i="1"/>
  <c r="B104" i="1"/>
  <c r="C104" i="1"/>
  <c r="D104" i="1"/>
  <c r="E104" i="1"/>
  <c r="F104" i="1"/>
  <c r="G104" i="1"/>
  <c r="G113" i="1" s="1"/>
  <c r="B105" i="1"/>
  <c r="C105" i="1"/>
  <c r="C106" i="1"/>
  <c r="C107" i="1"/>
  <c r="D107" i="1"/>
  <c r="E107" i="1"/>
  <c r="F107" i="1"/>
  <c r="G107" i="1"/>
  <c r="B108" i="1"/>
  <c r="C108" i="1"/>
  <c r="B109" i="1"/>
  <c r="C109" i="1"/>
  <c r="B110" i="1"/>
  <c r="C110" i="1"/>
  <c r="E110" i="1"/>
  <c r="B111" i="1"/>
  <c r="C111" i="1"/>
  <c r="B112" i="1"/>
  <c r="C112" i="1"/>
  <c r="C113" i="1"/>
  <c r="D113" i="1"/>
  <c r="B116" i="1"/>
  <c r="C116" i="1"/>
  <c r="D116" i="1"/>
  <c r="E116" i="1"/>
  <c r="F116" i="1"/>
  <c r="G116" i="1"/>
  <c r="B117" i="1"/>
  <c r="C117" i="1"/>
  <c r="B118" i="1"/>
  <c r="C118" i="1"/>
  <c r="D118" i="1"/>
  <c r="G118" i="1"/>
  <c r="B119" i="1"/>
  <c r="C119" i="1"/>
  <c r="B120" i="1"/>
  <c r="C120" i="1"/>
  <c r="B121" i="1"/>
  <c r="C121" i="1"/>
  <c r="B122" i="1"/>
  <c r="C122" i="1"/>
  <c r="D122" i="1"/>
  <c r="E122" i="1"/>
  <c r="F122" i="1"/>
  <c r="F131" i="1" s="1"/>
  <c r="G122" i="1"/>
  <c r="B123" i="1"/>
  <c r="C123" i="1"/>
  <c r="B124" i="1"/>
  <c r="C124" i="1"/>
  <c r="C125" i="1"/>
  <c r="G125" i="1"/>
  <c r="B126" i="1"/>
  <c r="C126" i="1"/>
  <c r="D126" i="1"/>
  <c r="E126" i="1"/>
  <c r="F126" i="1"/>
  <c r="G126" i="1"/>
  <c r="B127" i="1"/>
  <c r="C127" i="1"/>
  <c r="B128" i="1"/>
  <c r="C128" i="1"/>
  <c r="D128" i="1"/>
  <c r="E128" i="1"/>
  <c r="F128" i="1"/>
  <c r="G128" i="1"/>
  <c r="B129" i="1"/>
  <c r="C129" i="1"/>
  <c r="B130" i="1"/>
  <c r="C130" i="1"/>
  <c r="C134" i="1"/>
  <c r="D134" i="1"/>
  <c r="E134" i="1"/>
  <c r="F134" i="1"/>
  <c r="G134" i="1"/>
  <c r="B135" i="1"/>
  <c r="C135" i="1"/>
  <c r="B136" i="1"/>
  <c r="C136" i="1"/>
  <c r="B137" i="1"/>
  <c r="C137" i="1"/>
  <c r="B138" i="1"/>
  <c r="C138" i="1"/>
  <c r="D138" i="1"/>
  <c r="G138" i="1"/>
  <c r="B139" i="1"/>
  <c r="C139" i="1"/>
  <c r="D139" i="1"/>
  <c r="E139" i="1"/>
  <c r="F139" i="1"/>
  <c r="G139" i="1"/>
  <c r="B140" i="1"/>
  <c r="C140" i="1"/>
  <c r="B141" i="1"/>
  <c r="C141" i="1"/>
  <c r="D141" i="1"/>
  <c r="F141" i="1"/>
  <c r="G141" i="1"/>
  <c r="C142" i="1"/>
  <c r="D142" i="1"/>
  <c r="E142" i="1"/>
  <c r="F142" i="1"/>
  <c r="G142" i="1"/>
  <c r="B143" i="1"/>
  <c r="C143" i="1"/>
  <c r="D143" i="1"/>
  <c r="E143" i="1"/>
  <c r="F143" i="1"/>
  <c r="G143" i="1"/>
  <c r="B144" i="1"/>
  <c r="C144" i="1"/>
  <c r="B145" i="1"/>
  <c r="C145" i="1"/>
  <c r="D145" i="1"/>
  <c r="E145" i="1"/>
  <c r="F145" i="1"/>
  <c r="G145" i="1"/>
  <c r="B146" i="1"/>
  <c r="C146" i="1"/>
  <c r="D148" i="1"/>
  <c r="B151" i="1"/>
  <c r="C151" i="1"/>
  <c r="D151" i="1"/>
  <c r="D166" i="1" s="1"/>
  <c r="E151" i="1"/>
  <c r="F151" i="1"/>
  <c r="G151" i="1"/>
  <c r="B152" i="1"/>
  <c r="C152" i="1"/>
  <c r="B153" i="1"/>
  <c r="C153" i="1"/>
  <c r="D153" i="1"/>
  <c r="G153" i="1"/>
  <c r="B154" i="1"/>
  <c r="C154" i="1"/>
  <c r="B155" i="1"/>
  <c r="C155" i="1"/>
  <c r="B157" i="1"/>
  <c r="C157" i="1"/>
  <c r="D157" i="1"/>
  <c r="E157" i="1"/>
  <c r="F157" i="1"/>
  <c r="G157" i="1"/>
  <c r="B158" i="1"/>
  <c r="C158" i="1"/>
  <c r="B159" i="1"/>
  <c r="C159" i="1"/>
  <c r="D159" i="1"/>
  <c r="F159" i="1"/>
  <c r="G159" i="1"/>
  <c r="C160" i="1"/>
  <c r="D160" i="1"/>
  <c r="E160" i="1"/>
  <c r="F160" i="1"/>
  <c r="G160" i="1"/>
  <c r="B161" i="1"/>
  <c r="C161" i="1"/>
  <c r="D161" i="1"/>
  <c r="E161" i="1"/>
  <c r="F161" i="1"/>
  <c r="G161" i="1"/>
  <c r="B162" i="1"/>
  <c r="C162" i="1"/>
  <c r="C163" i="1"/>
  <c r="B164" i="1"/>
  <c r="C164" i="1"/>
  <c r="B165" i="1"/>
  <c r="C165" i="1"/>
  <c r="E166" i="1"/>
  <c r="B169" i="1"/>
  <c r="C169" i="1"/>
  <c r="C185" i="1" s="1"/>
  <c r="D169" i="1"/>
  <c r="E169" i="1"/>
  <c r="F169" i="1"/>
  <c r="G169" i="1"/>
  <c r="B170" i="1"/>
  <c r="C170" i="1"/>
  <c r="B171" i="1"/>
  <c r="C171" i="1"/>
  <c r="B172" i="1"/>
  <c r="C172" i="1"/>
  <c r="B173" i="1"/>
  <c r="C173" i="1"/>
  <c r="B174" i="1"/>
  <c r="C174" i="1"/>
  <c r="C175" i="1"/>
  <c r="B176" i="1"/>
  <c r="C176" i="1"/>
  <c r="B177" i="1"/>
  <c r="C177" i="1"/>
  <c r="C178" i="1"/>
  <c r="D178" i="1"/>
  <c r="E178" i="1"/>
  <c r="F178" i="1"/>
  <c r="G178" i="1"/>
  <c r="C179" i="1"/>
  <c r="D179" i="1"/>
  <c r="F179" i="1"/>
  <c r="G179" i="1"/>
  <c r="B180" i="1"/>
  <c r="C180" i="1"/>
  <c r="D180" i="1"/>
  <c r="E180" i="1"/>
  <c r="F180" i="1"/>
  <c r="G180" i="1"/>
  <c r="B181" i="1"/>
  <c r="C181" i="1"/>
  <c r="B182" i="1"/>
  <c r="C182" i="1"/>
  <c r="D182" i="1"/>
  <c r="E182" i="1"/>
  <c r="F182" i="1"/>
  <c r="G182" i="1"/>
  <c r="B183" i="1"/>
  <c r="C183" i="1"/>
  <c r="B184" i="1"/>
  <c r="C184" i="1"/>
  <c r="G185" i="1"/>
  <c r="B188" i="1"/>
  <c r="C188" i="1"/>
  <c r="E188" i="1"/>
  <c r="B189" i="1"/>
  <c r="C189" i="1"/>
  <c r="D189" i="1"/>
  <c r="D203" i="1" s="1"/>
  <c r="B190" i="1"/>
  <c r="C190" i="1"/>
  <c r="B191" i="1"/>
  <c r="C191" i="1"/>
  <c r="B192" i="1"/>
  <c r="C192" i="1"/>
  <c r="B193" i="1"/>
  <c r="C193" i="1"/>
  <c r="B194" i="1"/>
  <c r="C194" i="1"/>
  <c r="D194" i="1"/>
  <c r="E194" i="1"/>
  <c r="G194" i="1"/>
  <c r="B195" i="1"/>
  <c r="C195" i="1"/>
  <c r="B196" i="1"/>
  <c r="C196" i="1"/>
  <c r="B197" i="1"/>
  <c r="C197" i="1"/>
  <c r="D197" i="1"/>
  <c r="E197" i="1"/>
  <c r="F197" i="1"/>
  <c r="F203" i="1" s="1"/>
  <c r="G197" i="1"/>
  <c r="C198" i="1"/>
  <c r="B199" i="1"/>
  <c r="C199" i="1"/>
  <c r="B200" i="1"/>
  <c r="C200" i="1"/>
  <c r="D200" i="1"/>
  <c r="E200" i="1"/>
  <c r="E203" i="1" s="1"/>
  <c r="F200" i="1"/>
  <c r="G200" i="1"/>
  <c r="B201" i="1"/>
  <c r="C201" i="1"/>
  <c r="B202" i="1"/>
  <c r="C202" i="1"/>
  <c r="B206" i="1"/>
  <c r="C206" i="1"/>
  <c r="D206" i="1"/>
  <c r="E206" i="1"/>
  <c r="F206" i="1"/>
  <c r="F220" i="1" s="1"/>
  <c r="B207" i="1"/>
  <c r="C207" i="1"/>
  <c r="C208" i="1"/>
  <c r="B209" i="1"/>
  <c r="C209" i="1"/>
  <c r="B210" i="1"/>
  <c r="C210" i="1"/>
  <c r="D210" i="1"/>
  <c r="G210" i="1"/>
  <c r="B211" i="1"/>
  <c r="C211" i="1"/>
  <c r="D211" i="1"/>
  <c r="E211" i="1"/>
  <c r="F211" i="1"/>
  <c r="B212" i="1"/>
  <c r="C212" i="1"/>
  <c r="C213" i="1"/>
  <c r="C214" i="1"/>
  <c r="D214" i="1"/>
  <c r="E214" i="1"/>
  <c r="F214" i="1"/>
  <c r="G214" i="1"/>
  <c r="G220" i="1" s="1"/>
  <c r="B215" i="1"/>
  <c r="C215" i="1"/>
  <c r="D215" i="1"/>
  <c r="E215" i="1"/>
  <c r="F215" i="1"/>
  <c r="G215" i="1"/>
  <c r="B216" i="1"/>
  <c r="C216" i="1"/>
  <c r="C217" i="1"/>
  <c r="D217" i="1"/>
  <c r="E217" i="1"/>
  <c r="F217" i="1"/>
  <c r="G217" i="1"/>
  <c r="B218" i="1"/>
  <c r="C218" i="1"/>
  <c r="B219" i="1"/>
  <c r="C219" i="1"/>
  <c r="C220" i="1"/>
  <c r="C223" i="1"/>
  <c r="F223" i="1"/>
  <c r="G223" i="1"/>
  <c r="B224" i="1"/>
  <c r="C224" i="1"/>
  <c r="B225" i="1"/>
  <c r="C225" i="1"/>
  <c r="B226" i="1"/>
  <c r="C226" i="1"/>
  <c r="B227" i="1"/>
  <c r="C227" i="1"/>
  <c r="F227" i="1"/>
  <c r="G227" i="1"/>
  <c r="B228" i="1"/>
  <c r="C228" i="1"/>
  <c r="D228" i="1"/>
  <c r="D237" i="1" s="1"/>
  <c r="E228" i="1"/>
  <c r="E237" i="1" s="1"/>
  <c r="F228" i="1"/>
  <c r="G228" i="1"/>
  <c r="B229" i="1"/>
  <c r="C229" i="1"/>
  <c r="C230" i="1"/>
  <c r="C231" i="1"/>
  <c r="G231" i="1"/>
  <c r="B232" i="1"/>
  <c r="C232" i="1"/>
  <c r="C233" i="1"/>
  <c r="B234" i="1"/>
  <c r="C234" i="1"/>
  <c r="D234" i="1"/>
  <c r="E234" i="1"/>
  <c r="F234" i="1"/>
  <c r="G234" i="1"/>
  <c r="B235" i="1"/>
  <c r="C235" i="1"/>
  <c r="B236" i="1"/>
  <c r="C236" i="1"/>
  <c r="C240" i="1"/>
  <c r="B241" i="1"/>
  <c r="C241" i="1"/>
  <c r="B242" i="1"/>
  <c r="C242" i="1"/>
  <c r="B243" i="1"/>
  <c r="C243" i="1"/>
  <c r="B244" i="1"/>
  <c r="C244" i="1"/>
  <c r="B245" i="1"/>
  <c r="C245" i="1"/>
  <c r="D245" i="1"/>
  <c r="E245" i="1"/>
  <c r="F245" i="1"/>
  <c r="F255" i="1" s="1"/>
  <c r="G245" i="1"/>
  <c r="C246" i="1"/>
  <c r="D246" i="1"/>
  <c r="E246" i="1"/>
  <c r="E255" i="1" s="1"/>
  <c r="F246" i="1"/>
  <c r="B247" i="1"/>
  <c r="C247" i="1"/>
  <c r="B248" i="1"/>
  <c r="C248" i="1"/>
  <c r="C249" i="1"/>
  <c r="D249" i="1"/>
  <c r="E249" i="1"/>
  <c r="F249" i="1"/>
  <c r="G249" i="1"/>
  <c r="B250" i="1"/>
  <c r="C250" i="1"/>
  <c r="B251" i="1"/>
  <c r="C251" i="1"/>
  <c r="C252" i="1"/>
  <c r="D252" i="1"/>
  <c r="D255" i="1" s="1"/>
  <c r="E252" i="1"/>
  <c r="F252" i="1"/>
  <c r="G252" i="1"/>
  <c r="G255" i="1" s="1"/>
  <c r="B253" i="1"/>
  <c r="C253" i="1"/>
  <c r="B254" i="1"/>
  <c r="C254" i="1"/>
  <c r="C255" i="1"/>
  <c r="B259" i="1"/>
  <c r="C259" i="1"/>
  <c r="C273" i="1" s="1"/>
  <c r="C261" i="1"/>
  <c r="B262" i="1"/>
  <c r="C262" i="1"/>
  <c r="C263" i="1"/>
  <c r="C264" i="1"/>
  <c r="D264" i="1"/>
  <c r="E264" i="1"/>
  <c r="F264" i="1"/>
  <c r="G264" i="1"/>
  <c r="G273" i="1" s="1"/>
  <c r="B265" i="1"/>
  <c r="C265" i="1"/>
  <c r="B266" i="1"/>
  <c r="C266" i="1"/>
  <c r="D266" i="1"/>
  <c r="F266" i="1"/>
  <c r="G266" i="1"/>
  <c r="C267" i="1"/>
  <c r="D267" i="1"/>
  <c r="E267" i="1"/>
  <c r="F267" i="1"/>
  <c r="G267" i="1"/>
  <c r="C268" i="1"/>
  <c r="D268" i="1"/>
  <c r="E268" i="1"/>
  <c r="F268" i="1"/>
  <c r="G268" i="1"/>
  <c r="B269" i="1"/>
  <c r="C269" i="1"/>
  <c r="C270" i="1"/>
  <c r="D270" i="1"/>
  <c r="E270" i="1"/>
  <c r="F270" i="1"/>
  <c r="G270" i="1"/>
  <c r="B271" i="1"/>
  <c r="C271" i="1"/>
  <c r="B272" i="1"/>
  <c r="C272" i="1"/>
  <c r="F273" i="1" l="1"/>
  <c r="D273" i="1"/>
  <c r="G237" i="1"/>
  <c r="C237" i="1"/>
  <c r="C203" i="1"/>
  <c r="F166" i="1"/>
  <c r="E148" i="1"/>
  <c r="G131" i="1"/>
  <c r="C131" i="1"/>
  <c r="E131" i="1"/>
  <c r="G24" i="1"/>
  <c r="C24" i="1"/>
  <c r="F24" i="1"/>
  <c r="F237" i="1"/>
  <c r="E220" i="1"/>
  <c r="G203" i="1"/>
  <c r="G95" i="1"/>
  <c r="E77" i="1"/>
  <c r="D59" i="1"/>
  <c r="D41" i="1"/>
  <c r="C41" i="1"/>
  <c r="D220" i="1"/>
  <c r="E185" i="1"/>
  <c r="G148" i="1"/>
  <c r="C148" i="1"/>
  <c r="F95" i="1"/>
  <c r="D95" i="1"/>
  <c r="C95" i="1"/>
  <c r="C77" i="1"/>
  <c r="D77" i="1"/>
  <c r="G59" i="1"/>
  <c r="C59" i="1"/>
  <c r="E59" i="1"/>
  <c r="F41" i="1"/>
  <c r="E273" i="1"/>
  <c r="D185" i="1"/>
  <c r="F185" i="1"/>
  <c r="G166" i="1"/>
  <c r="C166" i="1"/>
  <c r="F148" i="1"/>
  <c r="D131" i="1"/>
</calcChain>
</file>

<file path=xl/sharedStrings.xml><?xml version="1.0" encoding="utf-8"?>
<sst xmlns="http://schemas.openxmlformats.org/spreadsheetml/2006/main" count="378" uniqueCount="175">
  <si>
    <t>ИТОГО за 15 день:</t>
  </si>
  <si>
    <t>ТТК №16</t>
  </si>
  <si>
    <t>ТТК № 48</t>
  </si>
  <si>
    <t>ТТК №50</t>
  </si>
  <si>
    <t>Гречка с цыпленком и подливой</t>
  </si>
  <si>
    <t>УЖИН:</t>
  </si>
  <si>
    <t>ТТК №17</t>
  </si>
  <si>
    <t>ТТК №62</t>
  </si>
  <si>
    <t>Оладьи рисовые</t>
  </si>
  <si>
    <t>ПОЛДНИК:</t>
  </si>
  <si>
    <t>ТТК № 78</t>
  </si>
  <si>
    <t>Индейка запеченая</t>
  </si>
  <si>
    <t>ТТК №23</t>
  </si>
  <si>
    <t>ТТК № 85</t>
  </si>
  <si>
    <t>ТТК №42</t>
  </si>
  <si>
    <t>Щи из квашеной капусты</t>
  </si>
  <si>
    <t>ТТК №26</t>
  </si>
  <si>
    <t>Салат Любимый</t>
  </si>
  <si>
    <t>ОБЕД:</t>
  </si>
  <si>
    <t>ТТК №13</t>
  </si>
  <si>
    <t>Яблоко</t>
  </si>
  <si>
    <t>ТТК №5</t>
  </si>
  <si>
    <t>Горячий бутерброд с маслом и сыром</t>
  </si>
  <si>
    <t>ТТК №15</t>
  </si>
  <si>
    <t>ТТК №2</t>
  </si>
  <si>
    <t>Каша рисовая</t>
  </si>
  <si>
    <t>ЗАВТРАК:</t>
  </si>
  <si>
    <t>ДЕНЬ 15</t>
  </si>
  <si>
    <t>ИТОГО за 14 день:</t>
  </si>
  <si>
    <t>ТТК №53</t>
  </si>
  <si>
    <t>Плов с говядиной</t>
  </si>
  <si>
    <t>ТТК №74</t>
  </si>
  <si>
    <t>ТТК №81</t>
  </si>
  <si>
    <t>Котлета из говядины</t>
  </si>
  <si>
    <t>ТТК №22</t>
  </si>
  <si>
    <t>ТТК №85</t>
  </si>
  <si>
    <t>ТТК №43</t>
  </si>
  <si>
    <t>Суп-лапша с цыпленком</t>
  </si>
  <si>
    <t>ТТК №29</t>
  </si>
  <si>
    <t>ТТК №11</t>
  </si>
  <si>
    <t>ТТК №3</t>
  </si>
  <si>
    <t>Каша пшеничная</t>
  </si>
  <si>
    <t>ДЕНЬ 14</t>
  </si>
  <si>
    <t>ИТОГО за 13 день:</t>
  </si>
  <si>
    <t>ТТК №60</t>
  </si>
  <si>
    <t>Чай зеленый</t>
  </si>
  <si>
    <t>ТТК №67</t>
  </si>
  <si>
    <t>ТТК №77</t>
  </si>
  <si>
    <t>Говядина, тушеная с луком в лепешке</t>
  </si>
  <si>
    <t>ТТК № 22</t>
  </si>
  <si>
    <t>Компот из ягод</t>
  </si>
  <si>
    <t>ТТК №41</t>
  </si>
  <si>
    <t>ТТК №33</t>
  </si>
  <si>
    <t>ТТК №14</t>
  </si>
  <si>
    <t>ТТК №8</t>
  </si>
  <si>
    <t>Омлет</t>
  </si>
  <si>
    <t>ДЕНЬ 13</t>
  </si>
  <si>
    <t>ИТОГО за 12 день:</t>
  </si>
  <si>
    <t>ТТК №48</t>
  </si>
  <si>
    <t>ТТК №59</t>
  </si>
  <si>
    <t>Кюфта с гречкой</t>
  </si>
  <si>
    <t>ТТК №73</t>
  </si>
  <si>
    <t>ТТК №79</t>
  </si>
  <si>
    <t>Крокеты из индейки</t>
  </si>
  <si>
    <t>ТТК № 86</t>
  </si>
  <si>
    <t>ТТК №45</t>
  </si>
  <si>
    <t>ТТК №32</t>
  </si>
  <si>
    <t>ТТК №12</t>
  </si>
  <si>
    <t>Банан</t>
  </si>
  <si>
    <t>ТТК №6</t>
  </si>
  <si>
    <t>ДЕНЬ 12</t>
  </si>
  <si>
    <t>ИТОГО за 11 день:</t>
  </si>
  <si>
    <t>ТТК №58</t>
  </si>
  <si>
    <t>ТТК №18</t>
  </si>
  <si>
    <t>ТТК №72</t>
  </si>
  <si>
    <t>Шарлотка с яблоками</t>
  </si>
  <si>
    <t>ТТК №83</t>
  </si>
  <si>
    <t>ТТК №21</t>
  </si>
  <si>
    <t>ТТК №44</t>
  </si>
  <si>
    <t>ТТК №31</t>
  </si>
  <si>
    <t>ТТК №9</t>
  </si>
  <si>
    <t>ДЕНЬ 11</t>
  </si>
  <si>
    <t>ИТОГО за 10 день:</t>
  </si>
  <si>
    <t>ТТК №24</t>
  </si>
  <si>
    <t>ТТК №49</t>
  </si>
  <si>
    <t>ТТК №71</t>
  </si>
  <si>
    <t>ТТК №64</t>
  </si>
  <si>
    <t>Творожная запеканка</t>
  </si>
  <si>
    <t>ТТК №84</t>
  </si>
  <si>
    <t>Шницель из цыпленка</t>
  </si>
  <si>
    <t>ТТК №34</t>
  </si>
  <si>
    <t>Суп из шпината с индейкой</t>
  </si>
  <si>
    <t>ТТК №4</t>
  </si>
  <si>
    <t>ДЕНЬ 10</t>
  </si>
  <si>
    <t>ИТОГО за 9 день:</t>
  </si>
  <si>
    <t>ТТК №57</t>
  </si>
  <si>
    <t>Пельмени детские</t>
  </si>
  <si>
    <t>ТТК №69</t>
  </si>
  <si>
    <t>ТТК №76</t>
  </si>
  <si>
    <t>Макароны с сыром</t>
  </si>
  <si>
    <t>ТТК №20</t>
  </si>
  <si>
    <t>ДЕНЬ 9</t>
  </si>
  <si>
    <t>ИТОГО за 8 день:</t>
  </si>
  <si>
    <t>ТТК №56</t>
  </si>
  <si>
    <t>ТТК №65</t>
  </si>
  <si>
    <t>Котлеты из говядины</t>
  </si>
  <si>
    <t>ТТК №30</t>
  </si>
  <si>
    <t>ДЕНЬ 8</t>
  </si>
  <si>
    <t>ИТОГО за 7 день:</t>
  </si>
  <si>
    <t>ТТК №55</t>
  </si>
  <si>
    <t>ТТК №68</t>
  </si>
  <si>
    <t>Говядина тушеная с луком</t>
  </si>
  <si>
    <t>ТТК №40</t>
  </si>
  <si>
    <t>ТТК №25</t>
  </si>
  <si>
    <t>ДЕНЬ 7</t>
  </si>
  <si>
    <t>ИТОГО за 6 день:</t>
  </si>
  <si>
    <t>ТТК №54</t>
  </si>
  <si>
    <t>ТТК №80</t>
  </si>
  <si>
    <t>Рыбные палочки</t>
  </si>
  <si>
    <t>Компот ягодный</t>
  </si>
  <si>
    <t>ТТК №39</t>
  </si>
  <si>
    <t>Салат из капусты и моркови</t>
  </si>
  <si>
    <t>ДЕНЬ 6</t>
  </si>
  <si>
    <t>ИТОГО за 5 день:</t>
  </si>
  <si>
    <t>ТТК №66</t>
  </si>
  <si>
    <t>Макароны запеченые с сыром</t>
  </si>
  <si>
    <t>ТТК №19</t>
  </si>
  <si>
    <t>ТТК №38</t>
  </si>
  <si>
    <t>Суп-гуляш (говядина)</t>
  </si>
  <si>
    <t>ТТК №28</t>
  </si>
  <si>
    <t>ДЕНЬ 5</t>
  </si>
  <si>
    <t>ИТОГО за 4 день:</t>
  </si>
  <si>
    <t>ТТК №61</t>
  </si>
  <si>
    <t>Плов с булгуром</t>
  </si>
  <si>
    <t>ТТК №37</t>
  </si>
  <si>
    <t>ТТК №27</t>
  </si>
  <si>
    <t>ДЕНЬ 4</t>
  </si>
  <si>
    <t>ИТОГО за 3 день:</t>
  </si>
  <si>
    <t>ТТК №51</t>
  </si>
  <si>
    <t>ТТК №78</t>
  </si>
  <si>
    <t>ТТК №36</t>
  </si>
  <si>
    <t>ДЕНЬ 3</t>
  </si>
  <si>
    <t>ИТОГО за 2 день:</t>
  </si>
  <si>
    <t>Чай черный</t>
  </si>
  <si>
    <t>ТТК №63</t>
  </si>
  <si>
    <t>ТТК №35</t>
  </si>
  <si>
    <t>Салат из свеклы с яблоками</t>
  </si>
  <si>
    <t>ТТК № 11,12,13,14</t>
  </si>
  <si>
    <t>Сезонные фрукты</t>
  </si>
  <si>
    <t>ТТК №1</t>
  </si>
  <si>
    <t>Каша гречневая</t>
  </si>
  <si>
    <t>ДЕНЬ 2</t>
  </si>
  <si>
    <t>ИТОГО за 1 день:</t>
  </si>
  <si>
    <t>ТТК №52</t>
  </si>
  <si>
    <t>Азу с соленым огурцом и картофелем</t>
  </si>
  <si>
    <t>ТТК №75</t>
  </si>
  <si>
    <t>Бисквит ванильный</t>
  </si>
  <si>
    <t>ТТК № 46</t>
  </si>
  <si>
    <t>Уха</t>
  </si>
  <si>
    <t>ТТК № 26</t>
  </si>
  <si>
    <t>Сухофрукты</t>
  </si>
  <si>
    <t>ДЕНЬ 1</t>
  </si>
  <si>
    <t>У</t>
  </si>
  <si>
    <t>Ж</t>
  </si>
  <si>
    <t>Б</t>
  </si>
  <si>
    <t>№ рецептуры</t>
  </si>
  <si>
    <t>Энергетическая ценность</t>
  </si>
  <si>
    <t>Пищевые вещества (г)</t>
  </si>
  <si>
    <t>Выход блюда</t>
  </si>
  <si>
    <t>Наименование блюда</t>
  </si>
  <si>
    <t>Прием пищи</t>
  </si>
  <si>
    <t>Саргсян Р.А.</t>
  </si>
  <si>
    <t>Директор ОАНО "Дари Детям Добро"</t>
  </si>
  <si>
    <t>Утверждаю:</t>
  </si>
  <si>
    <t>МЕНЮ 7 - 10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</si>
</sst>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_р_._-;\-* #,##0.0_р_._-;_-* &quot;-&quot;??_р_.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2" fillId="0" borderId="0" xfId="1" applyNumberFormat="1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1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65" fontId="0" fillId="0" borderId="0" xfId="1" applyNumberFormat="1" applyFont="1" applyFill="1" applyBorder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 wrapText="1"/>
    </xf>
    <xf numFmtId="165" fontId="0" fillId="0" borderId="0" xfId="1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5" fontId="0" fillId="0" borderId="3" xfId="1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4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-2026%20&#1091;&#1095;&#1077;&#1073;&#1085;&#1099;&#1081;%20&#1075;&#1086;&#1076;/&#1056;&#1086;&#1089;&#1087;&#1086;&#1090;&#1088;&#1077;&#1073;&#1085;&#1072;&#1076;&#1079;&#1086;&#1088;/&#1088;&#1086;&#1089;&#1087;&#1086;&#1088;&#1090;&#1077;&#1073;%202025/&#1052;&#1045;&#1053;&#1070;%20&#1082;%20&#1087;&#1088;&#1086;&#1074;&#1077;&#1088;&#1082;&#1077;%202025%20&#1043;&#1054;&#1058;&#1054;&#1042;&#1054;&#104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НЮ сады"/>
      <sheetName val="Калькуляция САД"/>
      <sheetName val="коэф"/>
      <sheetName val="И ЭТО"/>
      <sheetName val="Меню Ккал 1-3"/>
      <sheetName val="3-7"/>
      <sheetName val="Перечень продуктов"/>
      <sheetName val="ИТОГИ"/>
      <sheetName val="МЕНЮ ШК"/>
      <sheetName val="Калькуляция ШК"/>
      <sheetName val="Основной расчет ШК"/>
    </sheetNames>
    <sheetDataSet>
      <sheetData sheetId="0"/>
      <sheetData sheetId="1">
        <row r="8">
          <cell r="G8">
            <v>200</v>
          </cell>
        </row>
        <row r="14">
          <cell r="G14">
            <v>37.5</v>
          </cell>
        </row>
        <row r="18">
          <cell r="G18">
            <v>100</v>
          </cell>
        </row>
        <row r="20">
          <cell r="C20" t="str">
            <v>Чай зеленый</v>
          </cell>
          <cell r="G20">
            <v>150</v>
          </cell>
        </row>
        <row r="23">
          <cell r="G23">
            <v>105</v>
          </cell>
        </row>
        <row r="28">
          <cell r="G28">
            <v>275</v>
          </cell>
        </row>
        <row r="38">
          <cell r="C38" t="str">
            <v xml:space="preserve">Хлеб </v>
          </cell>
          <cell r="G38">
            <v>20</v>
          </cell>
        </row>
        <row r="39">
          <cell r="C39" t="str">
            <v>Компот из вишни</v>
          </cell>
        </row>
        <row r="40">
          <cell r="G40">
            <v>150</v>
          </cell>
        </row>
        <row r="45">
          <cell r="G45">
            <v>135</v>
          </cell>
        </row>
        <row r="52">
          <cell r="G52">
            <v>50</v>
          </cell>
        </row>
        <row r="55">
          <cell r="G55">
            <v>280</v>
          </cell>
        </row>
        <row r="66">
          <cell r="C66" t="str">
            <v>Овощи свежие</v>
          </cell>
        </row>
        <row r="67">
          <cell r="G67">
            <v>85</v>
          </cell>
        </row>
        <row r="103">
          <cell r="G103">
            <v>200</v>
          </cell>
        </row>
        <row r="107">
          <cell r="C107" t="str">
            <v>Сухофрукты</v>
          </cell>
          <cell r="G107">
            <v>10</v>
          </cell>
        </row>
        <row r="108">
          <cell r="G108">
            <v>100</v>
          </cell>
        </row>
        <row r="109">
          <cell r="C109" t="str">
            <v>Чай черный</v>
          </cell>
          <cell r="G109">
            <v>150</v>
          </cell>
        </row>
        <row r="112">
          <cell r="G112">
            <v>80</v>
          </cell>
        </row>
        <row r="118">
          <cell r="C118" t="str">
            <v>Суп фасолевый с буковками</v>
          </cell>
        </row>
        <row r="119">
          <cell r="G119">
            <v>300</v>
          </cell>
        </row>
        <row r="130">
          <cell r="C130" t="str">
            <v>Хлеб</v>
          </cell>
          <cell r="G130">
            <v>20</v>
          </cell>
        </row>
        <row r="131">
          <cell r="C131" t="str">
            <v>Компот из яблок и груш</v>
          </cell>
        </row>
        <row r="132">
          <cell r="G132">
            <v>150</v>
          </cell>
        </row>
        <row r="137">
          <cell r="C137" t="str">
            <v>Морковные кексы</v>
          </cell>
        </row>
        <row r="138">
          <cell r="G138">
            <v>200</v>
          </cell>
        </row>
        <row r="148">
          <cell r="C148" t="str">
            <v>Кефир</v>
          </cell>
          <cell r="G148">
            <v>50</v>
          </cell>
        </row>
        <row r="150">
          <cell r="C150" t="str">
            <v>Гречка с фермерским цыпленком и подливой</v>
          </cell>
        </row>
        <row r="151">
          <cell r="G151">
            <v>250</v>
          </cell>
        </row>
        <row r="160">
          <cell r="C160" t="str">
            <v>Овощи свежие</v>
          </cell>
        </row>
        <row r="161">
          <cell r="G161">
            <v>85</v>
          </cell>
        </row>
        <row r="164">
          <cell r="G164">
            <v>150</v>
          </cell>
        </row>
        <row r="197">
          <cell r="C197" t="str">
            <v>Омлет</v>
          </cell>
        </row>
        <row r="198">
          <cell r="G198">
            <v>120</v>
          </cell>
        </row>
        <row r="202">
          <cell r="C202" t="str">
            <v>Горячий бутерброд с маслом сыром</v>
          </cell>
          <cell r="G202">
            <v>75</v>
          </cell>
        </row>
        <row r="206">
          <cell r="C206" t="str">
            <v>Сухофрукты</v>
          </cell>
          <cell r="E206">
            <v>10</v>
          </cell>
        </row>
        <row r="207">
          <cell r="C207" t="str">
            <v>Банан</v>
          </cell>
          <cell r="G207">
            <v>100</v>
          </cell>
        </row>
        <row r="208">
          <cell r="C208" t="str">
            <v>Чай зеленый</v>
          </cell>
          <cell r="G208">
            <v>150</v>
          </cell>
        </row>
        <row r="211">
          <cell r="G211">
            <v>120</v>
          </cell>
        </row>
        <row r="217">
          <cell r="C217" t="str">
            <v>Суп-пюре овощной с индейкой</v>
          </cell>
        </row>
        <row r="218">
          <cell r="G218">
            <v>285</v>
          </cell>
        </row>
        <row r="228">
          <cell r="C228" t="str">
            <v>Хлеб</v>
          </cell>
          <cell r="E228">
            <v>20</v>
          </cell>
        </row>
        <row r="230">
          <cell r="G230">
            <v>150</v>
          </cell>
        </row>
        <row r="234">
          <cell r="C234" t="str">
            <v>Творожная запеканка со сметаной</v>
          </cell>
        </row>
        <row r="235">
          <cell r="G235">
            <v>140</v>
          </cell>
        </row>
        <row r="243">
          <cell r="C243" t="str">
            <v>Чай зеленый</v>
          </cell>
          <cell r="G243">
            <v>150</v>
          </cell>
        </row>
        <row r="245">
          <cell r="C245" t="str">
            <v>Котлеты рыбные с отварным картофелем и зеленью</v>
          </cell>
        </row>
        <row r="246">
          <cell r="G246">
            <v>335</v>
          </cell>
        </row>
        <row r="254">
          <cell r="C254" t="str">
            <v>Овощи свежие</v>
          </cell>
        </row>
        <row r="255">
          <cell r="G255">
            <v>85</v>
          </cell>
        </row>
        <row r="258">
          <cell r="C258" t="str">
            <v>Чай зеленый</v>
          </cell>
          <cell r="G258">
            <v>150</v>
          </cell>
        </row>
        <row r="292">
          <cell r="C292" t="str">
            <v>Каша рисовая</v>
          </cell>
        </row>
        <row r="293">
          <cell r="G293">
            <v>200</v>
          </cell>
        </row>
        <row r="299">
          <cell r="C299" t="str">
            <v>Горячий бутерброд с маслом сыром</v>
          </cell>
          <cell r="G299">
            <v>75</v>
          </cell>
        </row>
        <row r="303">
          <cell r="C303" t="str">
            <v>Сухофрукты</v>
          </cell>
          <cell r="E303">
            <v>10</v>
          </cell>
        </row>
        <row r="304">
          <cell r="C304" t="str">
            <v>Мандарин</v>
          </cell>
          <cell r="G304">
            <v>100</v>
          </cell>
        </row>
        <row r="305">
          <cell r="C305" t="str">
            <v>Чай черный</v>
          </cell>
        </row>
        <row r="307">
          <cell r="C307" t="str">
            <v>Винегрет</v>
          </cell>
        </row>
        <row r="308">
          <cell r="G308">
            <v>175</v>
          </cell>
        </row>
        <row r="316">
          <cell r="C316" t="str">
            <v>Сырный суп-пюре овощной с индейкой</v>
          </cell>
        </row>
        <row r="317">
          <cell r="G317">
            <v>300</v>
          </cell>
        </row>
        <row r="324">
          <cell r="C324" t="str">
            <v>Гренки</v>
          </cell>
          <cell r="G324">
            <v>20</v>
          </cell>
        </row>
        <row r="325">
          <cell r="C325" t="str">
            <v>Компот из ягод</v>
          </cell>
        </row>
        <row r="326">
          <cell r="G326">
            <v>150</v>
          </cell>
        </row>
        <row r="330">
          <cell r="C330" t="str">
            <v>Бельгийские вафли с домашним вареньем</v>
          </cell>
        </row>
        <row r="331">
          <cell r="G331">
            <v>175</v>
          </cell>
        </row>
        <row r="342">
          <cell r="C342" t="str">
            <v>Чай черный</v>
          </cell>
          <cell r="G342">
            <v>150</v>
          </cell>
        </row>
        <row r="345">
          <cell r="G345">
            <v>300</v>
          </cell>
        </row>
        <row r="355">
          <cell r="C355" t="str">
            <v>Овощи свежие</v>
          </cell>
        </row>
        <row r="356">
          <cell r="G356">
            <v>85</v>
          </cell>
        </row>
        <row r="359">
          <cell r="C359" t="str">
            <v>Чай черный</v>
          </cell>
          <cell r="G359">
            <v>150</v>
          </cell>
        </row>
        <row r="387">
          <cell r="C387" t="str">
            <v>Скрэмбл</v>
          </cell>
        </row>
        <row r="388">
          <cell r="G388">
            <v>120</v>
          </cell>
        </row>
        <row r="392">
          <cell r="C392" t="str">
            <v>Горячий бутерброд с маслом сыром</v>
          </cell>
          <cell r="G392">
            <v>75</v>
          </cell>
        </row>
        <row r="396">
          <cell r="C396" t="str">
            <v>Сухофрукты</v>
          </cell>
          <cell r="G396">
            <v>10</v>
          </cell>
        </row>
        <row r="397">
          <cell r="C397" t="str">
            <v>Яблоко</v>
          </cell>
          <cell r="G397">
            <v>100</v>
          </cell>
        </row>
        <row r="398">
          <cell r="C398" t="str">
            <v>Чай зеленый</v>
          </cell>
          <cell r="G398">
            <v>150</v>
          </cell>
        </row>
        <row r="400">
          <cell r="C400" t="str">
            <v>Салат "Витамин"</v>
          </cell>
        </row>
        <row r="401">
          <cell r="G401">
            <v>115</v>
          </cell>
        </row>
        <row r="409">
          <cell r="G409">
            <v>285</v>
          </cell>
        </row>
        <row r="419">
          <cell r="C419" t="str">
            <v>Хлеб</v>
          </cell>
          <cell r="G419">
            <v>20</v>
          </cell>
        </row>
        <row r="420">
          <cell r="C420" t="str">
            <v>Компот из сухофруктов</v>
          </cell>
        </row>
        <row r="421">
          <cell r="G421">
            <v>150</v>
          </cell>
        </row>
        <row r="425">
          <cell r="C425" t="str">
            <v>Бисквит шоколадный</v>
          </cell>
        </row>
        <row r="426">
          <cell r="G426">
            <v>150</v>
          </cell>
        </row>
        <row r="436">
          <cell r="C436" t="str">
            <v>Кефир</v>
          </cell>
          <cell r="G436">
            <v>50</v>
          </cell>
        </row>
        <row r="438">
          <cell r="C438" t="str">
            <v>Плов с говядиной</v>
          </cell>
        </row>
        <row r="439">
          <cell r="G439">
            <v>275</v>
          </cell>
        </row>
        <row r="445">
          <cell r="C445" t="str">
            <v>Овощи свежие</v>
          </cell>
        </row>
        <row r="446">
          <cell r="G446">
            <v>85</v>
          </cell>
        </row>
        <row r="449">
          <cell r="C449" t="str">
            <v>Чай зеленый</v>
          </cell>
          <cell r="G449">
            <v>150</v>
          </cell>
        </row>
        <row r="482">
          <cell r="C482" t="str">
            <v>Каша пшеничная</v>
          </cell>
        </row>
        <row r="483">
          <cell r="G483">
            <v>200</v>
          </cell>
        </row>
        <row r="489">
          <cell r="C489" t="str">
            <v>Сухофрукты</v>
          </cell>
          <cell r="G489">
            <v>10</v>
          </cell>
        </row>
        <row r="490">
          <cell r="C490" t="str">
            <v>Горячий бутерброд с маслом сыром</v>
          </cell>
          <cell r="G490">
            <v>75</v>
          </cell>
        </row>
        <row r="494">
          <cell r="C494" t="str">
            <v>Груша</v>
          </cell>
          <cell r="G494">
            <v>100</v>
          </cell>
        </row>
        <row r="495">
          <cell r="C495" t="str">
            <v>Чай черный</v>
          </cell>
          <cell r="G495">
            <v>150</v>
          </cell>
        </row>
        <row r="498">
          <cell r="G498">
            <v>90</v>
          </cell>
        </row>
        <row r="504">
          <cell r="C504" t="str">
            <v>Суп-рагу Рыбный</v>
          </cell>
        </row>
        <row r="505">
          <cell r="G505">
            <v>320</v>
          </cell>
        </row>
        <row r="514">
          <cell r="C514" t="str">
            <v>Хлеб</v>
          </cell>
          <cell r="G514">
            <v>20</v>
          </cell>
        </row>
        <row r="516">
          <cell r="G516">
            <v>150</v>
          </cell>
        </row>
        <row r="520">
          <cell r="C520" t="str">
            <v>Сырники со сметаной</v>
          </cell>
        </row>
        <row r="521">
          <cell r="G521">
            <v>200</v>
          </cell>
        </row>
        <row r="529">
          <cell r="C529" t="str">
            <v>Чай черный</v>
          </cell>
          <cell r="G529">
            <v>150</v>
          </cell>
        </row>
        <row r="531">
          <cell r="C531" t="str">
            <v>Паста с индейкой в сливочном соусе</v>
          </cell>
        </row>
        <row r="532">
          <cell r="G532">
            <v>275</v>
          </cell>
        </row>
        <row r="540">
          <cell r="C540" t="str">
            <v>Овощи свежие</v>
          </cell>
        </row>
        <row r="541">
          <cell r="G541">
            <v>85</v>
          </cell>
        </row>
        <row r="544">
          <cell r="C544" t="str">
            <v>Чай черный</v>
          </cell>
        </row>
        <row r="577">
          <cell r="C577" t="str">
            <v>Омлет</v>
          </cell>
        </row>
        <row r="578">
          <cell r="G578">
            <v>120</v>
          </cell>
        </row>
        <row r="582">
          <cell r="C582" t="str">
            <v>Сухофрукты</v>
          </cell>
          <cell r="G582">
            <v>10</v>
          </cell>
        </row>
        <row r="583">
          <cell r="C583" t="str">
            <v>Горячий бутерброд с маслом сыром</v>
          </cell>
          <cell r="G583">
            <v>37.5</v>
          </cell>
        </row>
        <row r="587">
          <cell r="C587" t="str">
            <v>Банан</v>
          </cell>
          <cell r="G587">
            <v>100</v>
          </cell>
        </row>
        <row r="588">
          <cell r="C588" t="str">
            <v>Чай зеленый</v>
          </cell>
          <cell r="G588">
            <v>150</v>
          </cell>
        </row>
        <row r="590">
          <cell r="C590" t="str">
            <v>Салат из свеклы с яблоками</v>
          </cell>
        </row>
        <row r="591">
          <cell r="G591">
            <v>105</v>
          </cell>
        </row>
        <row r="595">
          <cell r="C595" t="str">
            <v>Гороховый суп</v>
          </cell>
        </row>
        <row r="596">
          <cell r="G596">
            <v>300</v>
          </cell>
        </row>
        <row r="605">
          <cell r="C605" t="str">
            <v>Хлеб</v>
          </cell>
          <cell r="G605">
            <v>20</v>
          </cell>
        </row>
        <row r="606">
          <cell r="C606" t="str">
            <v>Компот из вишни</v>
          </cell>
        </row>
        <row r="607">
          <cell r="G607">
            <v>150</v>
          </cell>
        </row>
        <row r="611">
          <cell r="C611" t="str">
            <v>Кексы с цукинни и лимоном</v>
          </cell>
        </row>
        <row r="612">
          <cell r="G612">
            <v>150</v>
          </cell>
        </row>
        <row r="623">
          <cell r="C623" t="str">
            <v>Кефир</v>
          </cell>
          <cell r="G623">
            <v>50</v>
          </cell>
        </row>
        <row r="626">
          <cell r="G626">
            <v>300</v>
          </cell>
        </row>
        <row r="634">
          <cell r="C634" t="str">
            <v>Овощи свежие</v>
          </cell>
        </row>
        <row r="635">
          <cell r="G635">
            <v>85</v>
          </cell>
        </row>
        <row r="638">
          <cell r="C638" t="str">
            <v>Чай зеленый</v>
          </cell>
          <cell r="G638">
            <v>150</v>
          </cell>
        </row>
        <row r="673">
          <cell r="G673">
            <v>150</v>
          </cell>
        </row>
        <row r="678">
          <cell r="C678" t="str">
            <v>Сухофрукты</v>
          </cell>
          <cell r="G678">
            <v>10</v>
          </cell>
        </row>
        <row r="679">
          <cell r="C679" t="str">
            <v>Мандарин</v>
          </cell>
          <cell r="G679">
            <v>70</v>
          </cell>
        </row>
        <row r="680">
          <cell r="C680" t="str">
            <v>Чай черный</v>
          </cell>
          <cell r="G680">
            <v>150</v>
          </cell>
        </row>
        <row r="682">
          <cell r="C682" t="str">
            <v>Салат из капусты с болгарским перцем</v>
          </cell>
        </row>
        <row r="683">
          <cell r="G683">
            <v>75</v>
          </cell>
        </row>
        <row r="688">
          <cell r="C688" t="str">
            <v>Борщ</v>
          </cell>
        </row>
        <row r="689">
          <cell r="G689">
            <v>320</v>
          </cell>
        </row>
        <row r="702">
          <cell r="C702" t="str">
            <v>Хлеб</v>
          </cell>
          <cell r="G702">
            <v>40</v>
          </cell>
        </row>
        <row r="703">
          <cell r="C703" t="str">
            <v>Компот из яблок и груш</v>
          </cell>
        </row>
        <row r="704">
          <cell r="G704">
            <v>150</v>
          </cell>
        </row>
        <row r="709">
          <cell r="C709" t="str">
            <v>Бельгийские вафли с домашним вареньем</v>
          </cell>
        </row>
        <row r="710">
          <cell r="G710">
            <v>175</v>
          </cell>
        </row>
        <row r="721">
          <cell r="C721" t="str">
            <v>Чай черный</v>
          </cell>
          <cell r="G721">
            <v>150</v>
          </cell>
        </row>
        <row r="723">
          <cell r="C723" t="str">
            <v>Тефтели из фермерского цыпленка с гречкой</v>
          </cell>
        </row>
        <row r="724">
          <cell r="G724">
            <v>275</v>
          </cell>
        </row>
        <row r="732">
          <cell r="C732" t="str">
            <v>Овощи свежие</v>
          </cell>
        </row>
        <row r="733">
          <cell r="G733">
            <v>85</v>
          </cell>
        </row>
        <row r="767">
          <cell r="C767" t="str">
            <v>Омлет</v>
          </cell>
        </row>
        <row r="768">
          <cell r="G768">
            <v>120</v>
          </cell>
        </row>
        <row r="772">
          <cell r="C772" t="str">
            <v>Сухофрукты</v>
          </cell>
          <cell r="G772">
            <v>10</v>
          </cell>
        </row>
        <row r="773">
          <cell r="C773" t="str">
            <v>Горячий бутерброд с маслом сыром</v>
          </cell>
          <cell r="G773">
            <v>37.5</v>
          </cell>
        </row>
        <row r="777">
          <cell r="C777" t="str">
            <v>Яблоко</v>
          </cell>
          <cell r="G777">
            <v>100</v>
          </cell>
        </row>
        <row r="778">
          <cell r="C778" t="str">
            <v>Чай зеленый</v>
          </cell>
          <cell r="G778">
            <v>150</v>
          </cell>
        </row>
        <row r="787">
          <cell r="C787" t="str">
            <v>Щи из квашеной капусты</v>
          </cell>
        </row>
        <row r="788">
          <cell r="G788">
            <v>300</v>
          </cell>
        </row>
        <row r="798">
          <cell r="C798" t="str">
            <v>Гренки</v>
          </cell>
          <cell r="G798">
            <v>20</v>
          </cell>
        </row>
        <row r="799">
          <cell r="C799" t="str">
            <v>Кисель клюквенный</v>
          </cell>
        </row>
        <row r="800">
          <cell r="G800">
            <v>180</v>
          </cell>
        </row>
        <row r="805">
          <cell r="C805" t="str">
            <v>Блинчики с джемом</v>
          </cell>
        </row>
        <row r="806">
          <cell r="G806">
            <v>200</v>
          </cell>
        </row>
        <row r="814">
          <cell r="C814" t="str">
            <v>Чай зеленый с лимоном</v>
          </cell>
          <cell r="G814">
            <v>150</v>
          </cell>
        </row>
        <row r="819">
          <cell r="G819">
            <v>275</v>
          </cell>
        </row>
        <row r="829">
          <cell r="C829" t="str">
            <v>Овощи свежие</v>
          </cell>
        </row>
        <row r="830">
          <cell r="G830">
            <v>85</v>
          </cell>
        </row>
        <row r="833">
          <cell r="C833" t="str">
            <v>Чай зеленый</v>
          </cell>
          <cell r="G833">
            <v>150</v>
          </cell>
        </row>
        <row r="862">
          <cell r="C862" t="str">
            <v>Каша овсяная</v>
          </cell>
        </row>
        <row r="863">
          <cell r="G863">
            <v>200</v>
          </cell>
        </row>
        <row r="869">
          <cell r="C869" t="str">
            <v>Сухофрукты</v>
          </cell>
          <cell r="G869">
            <v>10</v>
          </cell>
        </row>
        <row r="870">
          <cell r="C870" t="str">
            <v>Горячий бутерброд с маслом сыром</v>
          </cell>
          <cell r="G870">
            <v>75</v>
          </cell>
        </row>
        <row r="874">
          <cell r="C874" t="str">
            <v>Груша</v>
          </cell>
          <cell r="G874">
            <v>100</v>
          </cell>
        </row>
        <row r="875">
          <cell r="C875" t="str">
            <v>Чай черный</v>
          </cell>
          <cell r="G875">
            <v>150</v>
          </cell>
        </row>
        <row r="877">
          <cell r="C877" t="str">
            <v>Салат любимый</v>
          </cell>
        </row>
        <row r="878">
          <cell r="G878">
            <v>120</v>
          </cell>
        </row>
        <row r="885">
          <cell r="G885">
            <v>300</v>
          </cell>
        </row>
        <row r="895">
          <cell r="C895" t="str">
            <v>Хлеб</v>
          </cell>
          <cell r="G895">
            <v>40</v>
          </cell>
        </row>
        <row r="896">
          <cell r="C896" t="str">
            <v>Компот из ягод</v>
          </cell>
        </row>
        <row r="897">
          <cell r="G897">
            <v>150</v>
          </cell>
        </row>
        <row r="902">
          <cell r="G902">
            <v>70</v>
          </cell>
        </row>
        <row r="905">
          <cell r="C905" t="str">
            <v>Гроссини из рисовой муки</v>
          </cell>
        </row>
        <row r="906">
          <cell r="G906">
            <v>60</v>
          </cell>
        </row>
        <row r="912">
          <cell r="C912" t="str">
            <v>Чай черный с фруктами</v>
          </cell>
          <cell r="G912">
            <v>150</v>
          </cell>
        </row>
        <row r="918">
          <cell r="C918" t="str">
            <v>Котлеты из индейки на пару с рисом и сметаной</v>
          </cell>
        </row>
        <row r="919">
          <cell r="G919">
            <v>280</v>
          </cell>
        </row>
        <row r="929">
          <cell r="C929" t="str">
            <v>Овощи свежие</v>
          </cell>
        </row>
        <row r="930">
          <cell r="G930">
            <v>85</v>
          </cell>
        </row>
        <row r="933">
          <cell r="C933" t="str">
            <v>Чай черный с фруктами</v>
          </cell>
          <cell r="G933">
            <v>150</v>
          </cell>
        </row>
        <row r="957">
          <cell r="C957" t="str">
            <v>Скрэмбл</v>
          </cell>
        </row>
        <row r="958">
          <cell r="G958">
            <v>120</v>
          </cell>
        </row>
        <row r="962">
          <cell r="C962" t="str">
            <v>Горячий бутерброд с маслом сыром</v>
          </cell>
          <cell r="G962">
            <v>37.5</v>
          </cell>
        </row>
        <row r="966">
          <cell r="C966" t="str">
            <v>Сухофрукты</v>
          </cell>
          <cell r="G966">
            <v>10</v>
          </cell>
        </row>
        <row r="967">
          <cell r="C967" t="str">
            <v>Банан</v>
          </cell>
          <cell r="G967">
            <v>100</v>
          </cell>
        </row>
        <row r="968">
          <cell r="C968" t="str">
            <v>Чай зеленый</v>
          </cell>
          <cell r="G968">
            <v>150</v>
          </cell>
        </row>
        <row r="970">
          <cell r="C970" t="str">
            <v>Салат из капусты и моркови</v>
          </cell>
        </row>
        <row r="971">
          <cell r="G971">
            <v>80</v>
          </cell>
        </row>
        <row r="975">
          <cell r="C975" t="str">
            <v>Рассольник</v>
          </cell>
        </row>
        <row r="976">
          <cell r="G976">
            <v>300</v>
          </cell>
        </row>
        <row r="986">
          <cell r="C986" t="str">
            <v>Хлеб</v>
          </cell>
          <cell r="G986">
            <v>20</v>
          </cell>
        </row>
        <row r="987">
          <cell r="C987" t="str">
            <v>Компот из вишни</v>
          </cell>
        </row>
        <row r="988">
          <cell r="G988">
            <v>150</v>
          </cell>
        </row>
        <row r="993">
          <cell r="G993">
            <v>165</v>
          </cell>
        </row>
        <row r="1002">
          <cell r="C1002" t="str">
            <v>Кефир</v>
          </cell>
          <cell r="G1002">
            <v>50</v>
          </cell>
        </row>
        <row r="1004">
          <cell r="C1004" t="str">
            <v>Рыбные котлеты с картофельным пюре</v>
          </cell>
        </row>
        <row r="1005">
          <cell r="G1005">
            <v>300</v>
          </cell>
        </row>
        <row r="1013">
          <cell r="C1013" t="str">
            <v>Овощи свежие</v>
          </cell>
        </row>
        <row r="1014">
          <cell r="G1014">
            <v>85</v>
          </cell>
        </row>
        <row r="1017">
          <cell r="C1017" t="str">
            <v>Чай зеленый</v>
          </cell>
          <cell r="G1017">
            <v>150</v>
          </cell>
        </row>
        <row r="1052">
          <cell r="C1052" t="str">
            <v>Макароны с сыром</v>
          </cell>
        </row>
        <row r="1053">
          <cell r="G1053">
            <v>200</v>
          </cell>
        </row>
        <row r="1057">
          <cell r="C1057" t="str">
            <v>Сухофрукты</v>
          </cell>
          <cell r="G1057">
            <v>10</v>
          </cell>
        </row>
        <row r="1058">
          <cell r="G1058">
            <v>100</v>
          </cell>
        </row>
        <row r="1059">
          <cell r="C1059" t="str">
            <v>Чай черный</v>
          </cell>
          <cell r="G1059">
            <v>150</v>
          </cell>
        </row>
        <row r="1061">
          <cell r="C1061" t="str">
            <v>Салат из капусты и помидор</v>
          </cell>
        </row>
        <row r="1062">
          <cell r="G1062">
            <v>85</v>
          </cell>
        </row>
        <row r="1067">
          <cell r="C1067" t="str">
            <v>Суп-пюре из индейки с цветной капустой</v>
          </cell>
        </row>
        <row r="1068">
          <cell r="G1068">
            <v>300</v>
          </cell>
        </row>
        <row r="1076">
          <cell r="C1076" t="str">
            <v>Гренки</v>
          </cell>
          <cell r="G1076">
            <v>40</v>
          </cell>
        </row>
        <row r="1078">
          <cell r="G1078">
            <v>150</v>
          </cell>
        </row>
        <row r="1082">
          <cell r="C1082" t="str">
            <v>Блинчики со сгущенкой</v>
          </cell>
        </row>
        <row r="1083">
          <cell r="G1083">
            <v>200</v>
          </cell>
        </row>
        <row r="1091">
          <cell r="C1091" t="str">
            <v>Чай черный</v>
          </cell>
          <cell r="G1091">
            <v>150</v>
          </cell>
        </row>
        <row r="1094">
          <cell r="G1094">
            <v>300</v>
          </cell>
        </row>
        <row r="1103">
          <cell r="C1103" t="str">
            <v>Овощи свежие</v>
          </cell>
        </row>
        <row r="1104">
          <cell r="G1104">
            <v>85</v>
          </cell>
        </row>
        <row r="1107">
          <cell r="C1107" t="str">
            <v>Чай черный</v>
          </cell>
          <cell r="G1107">
            <v>150</v>
          </cell>
        </row>
        <row r="1148">
          <cell r="G1148">
            <v>200</v>
          </cell>
        </row>
        <row r="1153">
          <cell r="C1153" t="str">
            <v>Сухофрукты</v>
          </cell>
          <cell r="G1153">
            <v>10</v>
          </cell>
        </row>
        <row r="1154">
          <cell r="C1154" t="str">
            <v>Мандарин</v>
          </cell>
          <cell r="G1154">
            <v>70</v>
          </cell>
        </row>
        <row r="1155">
          <cell r="C1155" t="str">
            <v>Чай зеленый</v>
          </cell>
          <cell r="G1155">
            <v>150</v>
          </cell>
        </row>
        <row r="1157">
          <cell r="C1157" t="str">
            <v>Салат картофельный с луком</v>
          </cell>
        </row>
        <row r="1158">
          <cell r="G1158">
            <v>150</v>
          </cell>
        </row>
        <row r="1164">
          <cell r="C1164" t="str">
            <v>Хлеб</v>
          </cell>
          <cell r="G1164">
            <v>20</v>
          </cell>
        </row>
        <row r="1165">
          <cell r="C1165" t="str">
            <v>Борщ</v>
          </cell>
        </row>
        <row r="1166">
          <cell r="G1166">
            <v>320</v>
          </cell>
        </row>
        <row r="1180">
          <cell r="G1180">
            <v>150</v>
          </cell>
        </row>
        <row r="1184">
          <cell r="C1184" t="str">
            <v>Сырники со сметаной</v>
          </cell>
        </row>
        <row r="1185">
          <cell r="G1185">
            <v>135</v>
          </cell>
        </row>
        <row r="1193">
          <cell r="G1193">
            <v>50</v>
          </cell>
        </row>
        <row r="1195">
          <cell r="C1195" t="str">
            <v>Котлеты из цыпленка с птитим и шпинатным соусом</v>
          </cell>
        </row>
        <row r="1196">
          <cell r="G1196">
            <v>300</v>
          </cell>
        </row>
        <row r="1212">
          <cell r="C1212" t="str">
            <v>Овощи свежие</v>
          </cell>
        </row>
        <row r="1213">
          <cell r="G1213">
            <v>85</v>
          </cell>
        </row>
        <row r="1216">
          <cell r="C1216" t="str">
            <v>Чай зеленый</v>
          </cell>
          <cell r="G1216">
            <v>150</v>
          </cell>
        </row>
        <row r="1243">
          <cell r="G1243">
            <v>200</v>
          </cell>
        </row>
        <row r="1248">
          <cell r="C1248" t="str">
            <v>Сухофрукты</v>
          </cell>
          <cell r="G1248">
            <v>10</v>
          </cell>
        </row>
        <row r="1249">
          <cell r="C1249" t="str">
            <v>Горячий бутерброд с маслом сыром</v>
          </cell>
          <cell r="G1249">
            <v>37.5</v>
          </cell>
        </row>
        <row r="1253">
          <cell r="C1253" t="str">
            <v>Груша</v>
          </cell>
          <cell r="G1253">
            <v>100</v>
          </cell>
        </row>
        <row r="1254">
          <cell r="C1254" t="str">
            <v>Чай черный</v>
          </cell>
          <cell r="G1254">
            <v>150</v>
          </cell>
        </row>
        <row r="1256">
          <cell r="C1256" t="str">
            <v>Салат Зимний</v>
          </cell>
        </row>
        <row r="1257">
          <cell r="G1257">
            <v>90</v>
          </cell>
        </row>
        <row r="1265">
          <cell r="G1265">
            <v>300</v>
          </cell>
        </row>
        <row r="1273">
          <cell r="C1273" t="str">
            <v>Хлеб</v>
          </cell>
          <cell r="G1273">
            <v>40</v>
          </cell>
        </row>
        <row r="1274">
          <cell r="C1274" t="str">
            <v>Компот ягодный</v>
          </cell>
        </row>
        <row r="1275">
          <cell r="G1275">
            <v>150</v>
          </cell>
        </row>
        <row r="1279">
          <cell r="C1279" t="str">
            <v>Творожная запеканка со сметаной и домашним вареньем</v>
          </cell>
        </row>
        <row r="1280">
          <cell r="G1280">
            <v>160</v>
          </cell>
        </row>
        <row r="1290">
          <cell r="C1290" t="str">
            <v>Чай черный</v>
          </cell>
          <cell r="G1290">
            <v>150</v>
          </cell>
        </row>
        <row r="1293">
          <cell r="G1293">
            <v>275</v>
          </cell>
        </row>
        <row r="1299">
          <cell r="C1299" t="str">
            <v>Овощи свежие</v>
          </cell>
        </row>
        <row r="1300">
          <cell r="G1300">
            <v>85</v>
          </cell>
        </row>
        <row r="1303">
          <cell r="C1303" t="str">
            <v>Чай черный</v>
          </cell>
          <cell r="G1303">
            <v>150</v>
          </cell>
        </row>
        <row r="1343">
          <cell r="C1343" t="str">
            <v>Сухофрукты</v>
          </cell>
          <cell r="G1343">
            <v>10</v>
          </cell>
        </row>
        <row r="1348">
          <cell r="G1348">
            <v>0.5</v>
          </cell>
        </row>
        <row r="1349">
          <cell r="C1349" t="str">
            <v>Чай зеленый</v>
          </cell>
          <cell r="G1349">
            <v>150</v>
          </cell>
        </row>
        <row r="1352">
          <cell r="G1352">
            <v>115</v>
          </cell>
        </row>
        <row r="1360">
          <cell r="G1360">
            <v>275</v>
          </cell>
        </row>
        <row r="1370">
          <cell r="C1370" t="str">
            <v>Хлеб</v>
          </cell>
          <cell r="G1370">
            <v>40</v>
          </cell>
        </row>
        <row r="1371">
          <cell r="C1371" t="str">
            <v>Компот из яблок и груш</v>
          </cell>
        </row>
        <row r="1372">
          <cell r="G1372">
            <v>150</v>
          </cell>
        </row>
        <row r="1378">
          <cell r="G1378">
            <v>150</v>
          </cell>
        </row>
        <row r="1385">
          <cell r="C1385" t="str">
            <v>Чай зеленый с лимоном</v>
          </cell>
        </row>
        <row r="1386">
          <cell r="G1386">
            <v>150</v>
          </cell>
        </row>
        <row r="1390">
          <cell r="G1390">
            <v>300</v>
          </cell>
        </row>
        <row r="1398">
          <cell r="C1398" t="str">
            <v>Овощи свежие</v>
          </cell>
        </row>
        <row r="1399">
          <cell r="G1399">
            <v>85</v>
          </cell>
        </row>
        <row r="1402">
          <cell r="C1402" t="str">
            <v>Чай зеленый</v>
          </cell>
          <cell r="G1402">
            <v>150</v>
          </cell>
        </row>
      </sheetData>
      <sheetData sheetId="2"/>
      <sheetData sheetId="3">
        <row r="9">
          <cell r="D9">
            <v>10.100000000000001</v>
          </cell>
          <cell r="E9">
            <v>10.9</v>
          </cell>
          <cell r="F9">
            <v>52.5</v>
          </cell>
          <cell r="G9">
            <v>250</v>
          </cell>
        </row>
        <row r="10">
          <cell r="D10">
            <v>4.6500000000000004</v>
          </cell>
          <cell r="E10">
            <v>6.3</v>
          </cell>
          <cell r="F10">
            <v>13.3</v>
          </cell>
          <cell r="G10">
            <v>127.5</v>
          </cell>
        </row>
        <row r="11">
          <cell r="D11">
            <v>0.9</v>
          </cell>
          <cell r="E11">
            <v>1.9</v>
          </cell>
          <cell r="F11">
            <v>12.4</v>
          </cell>
          <cell r="G11">
            <v>54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1</v>
          </cell>
        </row>
        <row r="14">
          <cell r="D14">
            <v>1</v>
          </cell>
          <cell r="E14">
            <v>5.3</v>
          </cell>
          <cell r="F14">
            <v>9.4</v>
          </cell>
          <cell r="G14">
            <v>90</v>
          </cell>
        </row>
        <row r="15">
          <cell r="D15">
            <v>16.399999999999999</v>
          </cell>
          <cell r="E15">
            <v>10.1</v>
          </cell>
          <cell r="F15">
            <v>20.2</v>
          </cell>
          <cell r="G15">
            <v>246</v>
          </cell>
        </row>
        <row r="16">
          <cell r="D16">
            <v>1.7</v>
          </cell>
          <cell r="E16">
            <v>1.1000000000000001</v>
          </cell>
          <cell r="F16">
            <v>10.6</v>
          </cell>
          <cell r="G16">
            <v>58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0.85</v>
          </cell>
        </row>
        <row r="18">
          <cell r="D18">
            <v>9.6999999999999993</v>
          </cell>
          <cell r="E18">
            <v>15.3</v>
          </cell>
          <cell r="F18">
            <v>53</v>
          </cell>
          <cell r="G18">
            <v>391</v>
          </cell>
        </row>
        <row r="19">
          <cell r="D19">
            <v>1.5</v>
          </cell>
          <cell r="E19">
            <v>1.6</v>
          </cell>
          <cell r="F19">
            <v>2</v>
          </cell>
          <cell r="G19">
            <v>29</v>
          </cell>
        </row>
        <row r="20">
          <cell r="D20">
            <v>20.5</v>
          </cell>
          <cell r="E20">
            <v>16</v>
          </cell>
          <cell r="F20">
            <v>44.3</v>
          </cell>
          <cell r="G20">
            <v>409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1</v>
          </cell>
        </row>
        <row r="22">
          <cell r="D22">
            <v>0.7</v>
          </cell>
          <cell r="E22">
            <v>0.1</v>
          </cell>
          <cell r="F22">
            <v>3.5</v>
          </cell>
          <cell r="G22">
            <v>17</v>
          </cell>
        </row>
        <row r="26">
          <cell r="D26">
            <v>9.8999999999999986</v>
          </cell>
          <cell r="E26">
            <v>9.1999999999999993</v>
          </cell>
          <cell r="F26">
            <v>36</v>
          </cell>
          <cell r="G26">
            <v>265</v>
          </cell>
        </row>
        <row r="27">
          <cell r="D27">
            <v>0.3</v>
          </cell>
          <cell r="E27">
            <v>0.1</v>
          </cell>
          <cell r="F27">
            <v>6.2</v>
          </cell>
          <cell r="G27">
            <v>24.5</v>
          </cell>
        </row>
        <row r="28">
          <cell r="D28">
            <v>0.4</v>
          </cell>
          <cell r="E28">
            <v>0.4</v>
          </cell>
          <cell r="F28">
            <v>9.8000000000000007</v>
          </cell>
          <cell r="G28">
            <v>47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1</v>
          </cell>
        </row>
        <row r="30">
          <cell r="D30">
            <v>1.5</v>
          </cell>
          <cell r="E30">
            <v>3.5</v>
          </cell>
          <cell r="F30">
            <v>2.2999999999999998</v>
          </cell>
          <cell r="G30">
            <v>44</v>
          </cell>
        </row>
        <row r="31">
          <cell r="D31">
            <v>24.8</v>
          </cell>
          <cell r="E31">
            <v>12.599999999999998</v>
          </cell>
          <cell r="F31">
            <v>48.900000000000006</v>
          </cell>
          <cell r="G31">
            <v>410</v>
          </cell>
        </row>
        <row r="32">
          <cell r="D32">
            <v>1.7</v>
          </cell>
          <cell r="E32">
            <v>1.1000000000000001</v>
          </cell>
          <cell r="F32">
            <v>10.6</v>
          </cell>
          <cell r="G32">
            <v>58</v>
          </cell>
        </row>
        <row r="33">
          <cell r="D33">
            <v>0.2</v>
          </cell>
          <cell r="E33">
            <v>0.2</v>
          </cell>
          <cell r="F33">
            <v>14.6</v>
          </cell>
          <cell r="G33">
            <v>61</v>
          </cell>
        </row>
        <row r="34">
          <cell r="D34">
            <v>7.1999999999999993</v>
          </cell>
          <cell r="E34">
            <v>8.3000000000000007</v>
          </cell>
          <cell r="F34">
            <v>65.8</v>
          </cell>
          <cell r="G34">
            <v>364</v>
          </cell>
        </row>
        <row r="35">
          <cell r="D35">
            <v>1.5</v>
          </cell>
          <cell r="E35">
            <v>1.6</v>
          </cell>
          <cell r="F35">
            <v>2</v>
          </cell>
          <cell r="G35">
            <v>29</v>
          </cell>
        </row>
        <row r="36">
          <cell r="D36">
            <v>26.4</v>
          </cell>
          <cell r="E36">
            <v>23.3</v>
          </cell>
          <cell r="F36">
            <v>36.9</v>
          </cell>
          <cell r="G36">
            <v>462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1</v>
          </cell>
        </row>
        <row r="38">
          <cell r="D38">
            <v>0.7</v>
          </cell>
          <cell r="E38">
            <v>0.1</v>
          </cell>
          <cell r="F38">
            <v>3.5</v>
          </cell>
          <cell r="G38">
            <v>17</v>
          </cell>
        </row>
        <row r="42">
          <cell r="D42">
            <v>5.6999999999999993</v>
          </cell>
          <cell r="E42">
            <v>10.7</v>
          </cell>
          <cell r="F42">
            <v>1.3</v>
          </cell>
          <cell r="G42">
            <v>145</v>
          </cell>
        </row>
        <row r="43">
          <cell r="D43">
            <v>9.3000000000000007</v>
          </cell>
          <cell r="E43">
            <v>12.6</v>
          </cell>
          <cell r="F43">
            <v>26.6</v>
          </cell>
          <cell r="G43">
            <v>255</v>
          </cell>
        </row>
        <row r="44">
          <cell r="D44">
            <v>1.6</v>
          </cell>
          <cell r="E44">
            <v>0.2</v>
          </cell>
          <cell r="F44">
            <v>23</v>
          </cell>
          <cell r="G44">
            <v>100</v>
          </cell>
        </row>
        <row r="45">
          <cell r="D45">
            <v>0.3</v>
          </cell>
          <cell r="E45">
            <v>0.1</v>
          </cell>
          <cell r="F45">
            <v>6.2</v>
          </cell>
          <cell r="G45">
            <v>24.5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1</v>
          </cell>
        </row>
        <row r="47">
          <cell r="D47">
            <v>0.7</v>
          </cell>
          <cell r="E47">
            <v>3.3</v>
          </cell>
          <cell r="F47">
            <v>4.2</v>
          </cell>
          <cell r="G47">
            <v>54</v>
          </cell>
        </row>
        <row r="48">
          <cell r="D48">
            <v>14.5</v>
          </cell>
          <cell r="E48">
            <v>8</v>
          </cell>
          <cell r="F48">
            <v>23.200000000000003</v>
          </cell>
          <cell r="G48">
            <v>230</v>
          </cell>
        </row>
        <row r="49">
          <cell r="D49">
            <v>1.7</v>
          </cell>
          <cell r="E49">
            <v>1.1000000000000001</v>
          </cell>
          <cell r="F49">
            <v>10.6</v>
          </cell>
          <cell r="G49">
            <v>58</v>
          </cell>
        </row>
        <row r="50">
          <cell r="D50">
            <v>0.3</v>
          </cell>
          <cell r="E50">
            <v>0.1</v>
          </cell>
          <cell r="F50">
            <v>13.1</v>
          </cell>
          <cell r="G50">
            <v>54</v>
          </cell>
        </row>
        <row r="51">
          <cell r="D51">
            <v>15.4</v>
          </cell>
          <cell r="E51">
            <v>18.7</v>
          </cell>
          <cell r="F51">
            <v>19.3</v>
          </cell>
          <cell r="G51">
            <v>315</v>
          </cell>
        </row>
        <row r="52">
          <cell r="D52">
            <v>1.5</v>
          </cell>
          <cell r="E52">
            <v>1.6</v>
          </cell>
          <cell r="F52">
            <v>2</v>
          </cell>
          <cell r="G52">
            <v>29</v>
          </cell>
        </row>
        <row r="53">
          <cell r="D53">
            <v>21.1</v>
          </cell>
          <cell r="E53">
            <v>11.67</v>
          </cell>
          <cell r="F53">
            <v>53.4</v>
          </cell>
          <cell r="G53">
            <v>412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1</v>
          </cell>
        </row>
        <row r="55">
          <cell r="D55">
            <v>0.7</v>
          </cell>
          <cell r="E55">
            <v>0.1</v>
          </cell>
          <cell r="F55">
            <v>3.5</v>
          </cell>
          <cell r="G55">
            <v>17</v>
          </cell>
        </row>
      </sheetData>
      <sheetData sheetId="4"/>
      <sheetData sheetId="5"/>
      <sheetData sheetId="6"/>
      <sheetData sheetId="7"/>
      <sheetData sheetId="8"/>
      <sheetData sheetId="9">
        <row r="77">
          <cell r="G77">
            <v>135</v>
          </cell>
        </row>
        <row r="171">
          <cell r="G171">
            <v>180</v>
          </cell>
        </row>
        <row r="265">
          <cell r="C265" t="str">
            <v>Индейка, запеченная с травами</v>
          </cell>
          <cell r="G265">
            <v>100</v>
          </cell>
        </row>
        <row r="366">
          <cell r="C366" t="str">
            <v>Крокеты из индейки</v>
          </cell>
          <cell r="G366">
            <v>100</v>
          </cell>
        </row>
        <row r="456">
          <cell r="G456">
            <v>135</v>
          </cell>
        </row>
        <row r="551">
          <cell r="G551">
            <v>120</v>
          </cell>
        </row>
        <row r="625">
          <cell r="C625" t="str">
            <v>Рагу с цыпенком и чечевицей</v>
          </cell>
        </row>
        <row r="645">
          <cell r="G645">
            <v>180</v>
          </cell>
        </row>
        <row r="743">
          <cell r="G743">
            <v>130</v>
          </cell>
        </row>
        <row r="840">
          <cell r="G840">
            <v>135</v>
          </cell>
        </row>
        <row r="944">
          <cell r="G944">
            <v>120</v>
          </cell>
        </row>
        <row r="1024">
          <cell r="C1024" t="str">
            <v>Говядина, запеченная с травами</v>
          </cell>
          <cell r="G1024">
            <v>100</v>
          </cell>
        </row>
        <row r="1114">
          <cell r="G1114">
            <v>100</v>
          </cell>
        </row>
        <row r="1223">
          <cell r="G1223">
            <v>180</v>
          </cell>
        </row>
        <row r="1310">
          <cell r="G1310">
            <v>120</v>
          </cell>
        </row>
        <row r="1409">
          <cell r="G1409">
            <v>120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73"/>
  <sheetViews>
    <sheetView tabSelected="1" workbookViewId="0">
      <pane ySplit="7" topLeftCell="A8" activePane="bottomLeft" state="frozen"/>
      <selection activeCell="K1139" sqref="K1139"/>
      <selection pane="bottomLeft" activeCell="P20" sqref="P20"/>
    </sheetView>
  </sheetViews>
  <sheetFormatPr defaultColWidth="9.140625" defaultRowHeight="15" x14ac:dyDescent="0.25"/>
  <cols>
    <col min="1" max="1" width="17.5703125" style="1" customWidth="1"/>
    <col min="2" max="2" width="30" style="1" customWidth="1"/>
    <col min="3" max="3" width="13.85546875" style="1" customWidth="1"/>
    <col min="4" max="6" width="9.140625" style="1"/>
    <col min="7" max="8" width="13.85546875" style="1" customWidth="1"/>
    <col min="9" max="16384" width="9.140625" style="1"/>
  </cols>
  <sheetData>
    <row r="1" spans="1:8" ht="18.75" x14ac:dyDescent="0.25">
      <c r="A1" s="20" t="s">
        <v>174</v>
      </c>
      <c r="B1" s="20"/>
      <c r="C1" s="20"/>
      <c r="D1" s="20"/>
      <c r="E1" s="20"/>
      <c r="F1" s="20"/>
      <c r="G1" s="20"/>
      <c r="H1" s="20"/>
    </row>
    <row r="2" spans="1:8" ht="25.9" customHeight="1" x14ac:dyDescent="0.25">
      <c r="A2" s="18"/>
      <c r="B2" s="18"/>
      <c r="C2" s="18"/>
      <c r="D2" s="18"/>
      <c r="E2" s="18"/>
      <c r="F2" s="27" t="s">
        <v>173</v>
      </c>
      <c r="G2" s="27"/>
      <c r="H2" s="27"/>
    </row>
    <row r="3" spans="1:8" ht="18.75" x14ac:dyDescent="0.25">
      <c r="A3" s="18"/>
      <c r="B3" s="18"/>
      <c r="C3" s="18"/>
      <c r="D3" s="18"/>
      <c r="E3" s="18"/>
      <c r="F3" s="27" t="s">
        <v>172</v>
      </c>
      <c r="G3" s="27"/>
      <c r="H3" s="27"/>
    </row>
    <row r="4" spans="1:8" ht="18.75" x14ac:dyDescent="0.25">
      <c r="A4" s="18"/>
      <c r="B4" s="18"/>
      <c r="C4" s="18"/>
      <c r="D4" s="18"/>
      <c r="E4" s="18"/>
      <c r="F4" s="30" t="s">
        <v>171</v>
      </c>
      <c r="G4" s="30"/>
      <c r="H4" s="30"/>
    </row>
    <row r="5" spans="1:8" ht="19.5" thickBot="1" x14ac:dyDescent="0.3">
      <c r="A5" s="18"/>
      <c r="B5" s="18"/>
      <c r="C5" s="18"/>
      <c r="D5" s="18"/>
      <c r="E5" s="18"/>
      <c r="F5" s="28">
        <v>45901</v>
      </c>
      <c r="G5" s="29"/>
      <c r="H5" s="29"/>
    </row>
    <row r="6" spans="1:8" ht="15" customHeight="1" x14ac:dyDescent="0.25">
      <c r="A6" s="21" t="s">
        <v>170</v>
      </c>
      <c r="B6" s="23" t="s">
        <v>169</v>
      </c>
      <c r="C6" s="23" t="s">
        <v>168</v>
      </c>
      <c r="D6" s="23" t="s">
        <v>167</v>
      </c>
      <c r="E6" s="23"/>
      <c r="F6" s="23"/>
      <c r="G6" s="23" t="s">
        <v>166</v>
      </c>
      <c r="H6" s="25" t="s">
        <v>165</v>
      </c>
    </row>
    <row r="7" spans="1:8" ht="15.75" thickBot="1" x14ac:dyDescent="0.3">
      <c r="A7" s="22"/>
      <c r="B7" s="24"/>
      <c r="C7" s="24"/>
      <c r="D7" s="17" t="s">
        <v>164</v>
      </c>
      <c r="E7" s="17" t="s">
        <v>163</v>
      </c>
      <c r="F7" s="17" t="s">
        <v>162</v>
      </c>
      <c r="G7" s="24"/>
      <c r="H7" s="26"/>
    </row>
    <row r="8" spans="1:8" ht="15.75" thickBot="1" x14ac:dyDescent="0.3">
      <c r="A8" s="19" t="s">
        <v>161</v>
      </c>
      <c r="B8" s="19"/>
      <c r="C8" s="19"/>
      <c r="D8" s="19"/>
      <c r="E8" s="19"/>
      <c r="F8" s="19"/>
      <c r="G8" s="19"/>
      <c r="H8" s="19"/>
    </row>
    <row r="9" spans="1:8" ht="15.75" thickTop="1" x14ac:dyDescent="0.25">
      <c r="A9" s="1" t="s">
        <v>26</v>
      </c>
      <c r="B9" s="1" t="s">
        <v>99</v>
      </c>
      <c r="C9" s="8">
        <f>'[1]Калькуляция САД'!G8*1.25</f>
        <v>250</v>
      </c>
      <c r="D9" s="8">
        <f>'[1]И ЭТО'!D9*1.25</f>
        <v>12.625000000000002</v>
      </c>
      <c r="E9" s="8">
        <f>'[1]И ЭТО'!E9*1.25</f>
        <v>13.625</v>
      </c>
      <c r="F9" s="8">
        <f>'[1]И ЭТО'!F9*1.25</f>
        <v>65.625</v>
      </c>
      <c r="G9" s="8">
        <f>'[1]И ЭТО'!G9*1.25</f>
        <v>312.5</v>
      </c>
      <c r="H9" s="1" t="s">
        <v>69</v>
      </c>
    </row>
    <row r="10" spans="1:8" ht="30" x14ac:dyDescent="0.25">
      <c r="B10" s="1" t="s">
        <v>22</v>
      </c>
      <c r="C10" s="7">
        <f>'[1]Калькуляция САД'!G14*1.25</f>
        <v>46.875</v>
      </c>
      <c r="D10" s="8">
        <f>'[1]И ЭТО'!D10*1.25</f>
        <v>5.8125</v>
      </c>
      <c r="E10" s="8">
        <f>'[1]И ЭТО'!E10*1.25</f>
        <v>7.875</v>
      </c>
      <c r="F10" s="8">
        <f>'[1]И ЭТО'!F10*1.25</f>
        <v>16.625</v>
      </c>
      <c r="G10" s="8">
        <f>'[1]И ЭТО'!G10*1</f>
        <v>127.5</v>
      </c>
      <c r="H10" s="1" t="s">
        <v>21</v>
      </c>
    </row>
    <row r="11" spans="1:8" x14ac:dyDescent="0.25">
      <c r="B11" s="1" t="s">
        <v>160</v>
      </c>
      <c r="C11" s="7">
        <v>12.5</v>
      </c>
      <c r="D11" s="8">
        <v>0.4</v>
      </c>
      <c r="E11" s="8">
        <v>0.1</v>
      </c>
      <c r="F11" s="8">
        <v>7.8</v>
      </c>
      <c r="G11" s="8">
        <v>3.6</v>
      </c>
      <c r="H11" s="1" t="s">
        <v>23</v>
      </c>
    </row>
    <row r="12" spans="1:8" x14ac:dyDescent="0.25">
      <c r="B12" s="1" t="s">
        <v>20</v>
      </c>
      <c r="C12" s="7">
        <f>'[1]Калькуляция САД'!G18*1.25</f>
        <v>125</v>
      </c>
      <c r="D12" s="7">
        <f>'[1]И ЭТО'!D11*1.25</f>
        <v>1.125</v>
      </c>
      <c r="E12" s="7">
        <f>'[1]И ЭТО'!E11*1.25</f>
        <v>2.375</v>
      </c>
      <c r="F12" s="7">
        <f>'[1]И ЭТО'!F11*1.25</f>
        <v>15.5</v>
      </c>
      <c r="G12" s="7">
        <f>'[1]И ЭТО'!G11*1.25</f>
        <v>67.5</v>
      </c>
      <c r="H12" s="1" t="s">
        <v>19</v>
      </c>
    </row>
    <row r="13" spans="1:8" x14ac:dyDescent="0.25">
      <c r="B13" s="4" t="str">
        <f>'[1]Калькуляция САД'!C20</f>
        <v>Чай зеленый</v>
      </c>
      <c r="C13" s="5">
        <f>'[1]Калькуляция САД'!G20*1.25</f>
        <v>187.5</v>
      </c>
      <c r="D13" s="5">
        <f>'[1]И ЭТО'!D13*1.25</f>
        <v>0</v>
      </c>
      <c r="E13" s="5">
        <f>'[1]И ЭТО'!E13*1.25</f>
        <v>0</v>
      </c>
      <c r="F13" s="5">
        <f>'[1]И ЭТО'!F13*1.25</f>
        <v>0</v>
      </c>
      <c r="G13" s="5">
        <f>'[1]И ЭТО'!G13*1.25</f>
        <v>1.25</v>
      </c>
      <c r="H13" s="4" t="s">
        <v>1</v>
      </c>
    </row>
    <row r="14" spans="1:8" x14ac:dyDescent="0.25">
      <c r="A14" s="1" t="s">
        <v>18</v>
      </c>
      <c r="B14" s="1" t="s">
        <v>17</v>
      </c>
      <c r="C14" s="8">
        <f>'[1]Калькуляция САД'!G23*1.25</f>
        <v>131.25</v>
      </c>
      <c r="D14" s="8">
        <f>'[1]И ЭТО'!D14*1.25</f>
        <v>1.25</v>
      </c>
      <c r="E14" s="8">
        <f>'[1]И ЭТО'!E14*1.25</f>
        <v>6.625</v>
      </c>
      <c r="F14" s="8">
        <f>'[1]И ЭТО'!F14*1.25</f>
        <v>11.75</v>
      </c>
      <c r="G14" s="8">
        <f>'[1]И ЭТО'!G14*1.25</f>
        <v>112.5</v>
      </c>
      <c r="H14" s="1" t="s">
        <v>159</v>
      </c>
    </row>
    <row r="15" spans="1:8" x14ac:dyDescent="0.25">
      <c r="B15" s="1" t="s">
        <v>158</v>
      </c>
      <c r="C15" s="8">
        <f>'[1]Калькуляция САД'!G28*1.25</f>
        <v>343.75</v>
      </c>
      <c r="D15" s="8">
        <f>'[1]И ЭТО'!D15*1.25</f>
        <v>20.5</v>
      </c>
      <c r="E15" s="8">
        <f>'[1]И ЭТО'!E15*1.25</f>
        <v>12.625</v>
      </c>
      <c r="F15" s="8">
        <f>'[1]И ЭТО'!F15*1.25</f>
        <v>25.25</v>
      </c>
      <c r="G15" s="8">
        <f>'[1]И ЭТО'!G15*1.25</f>
        <v>307.5</v>
      </c>
      <c r="H15" s="1" t="s">
        <v>157</v>
      </c>
    </row>
    <row r="16" spans="1:8" x14ac:dyDescent="0.25">
      <c r="B16" s="1" t="str">
        <f>'[1]Калькуляция САД'!C38</f>
        <v xml:space="preserve">Хлеб </v>
      </c>
      <c r="C16" s="8">
        <f>'[1]Калькуляция САД'!G38*1.25</f>
        <v>25</v>
      </c>
      <c r="D16" s="8">
        <f>'[1]И ЭТО'!D16*1.25</f>
        <v>2.125</v>
      </c>
      <c r="E16" s="8">
        <f>'[1]И ЭТО'!E16*1.25</f>
        <v>1.375</v>
      </c>
      <c r="F16" s="8">
        <f>'[1]И ЭТО'!F16*1.25</f>
        <v>13.25</v>
      </c>
      <c r="G16" s="8">
        <f>'[1]И ЭТО'!G16*1.25</f>
        <v>72.5</v>
      </c>
      <c r="H16" s="1" t="s">
        <v>13</v>
      </c>
    </row>
    <row r="17" spans="1:8" x14ac:dyDescent="0.25">
      <c r="B17" s="1" t="str">
        <f>'[1]Калькуляция САД'!C39</f>
        <v>Компот из вишни</v>
      </c>
      <c r="C17" s="7">
        <f>'[1]Калькуляция САД'!G40*1.25</f>
        <v>187.5</v>
      </c>
      <c r="D17" s="7">
        <f>'[1]И ЭТО'!D17*1.25</f>
        <v>0</v>
      </c>
      <c r="E17" s="7">
        <f>'[1]И ЭТО'!E17*1.25</f>
        <v>0</v>
      </c>
      <c r="F17" s="7">
        <f>'[1]И ЭТО'!F17*1.25</f>
        <v>0</v>
      </c>
      <c r="G17" s="7">
        <f>'[1]И ЭТО'!G17*1.25</f>
        <v>1.0625</v>
      </c>
      <c r="H17" s="1" t="s">
        <v>77</v>
      </c>
    </row>
    <row r="18" spans="1:8" x14ac:dyDescent="0.25">
      <c r="B18" s="4" t="s">
        <v>118</v>
      </c>
      <c r="C18" s="11">
        <f>'[1]Калькуляция ШК'!G77</f>
        <v>135</v>
      </c>
      <c r="D18" s="11">
        <f>6.1+3.8</f>
        <v>9.8999999999999986</v>
      </c>
      <c r="E18" s="11">
        <f>9.2</f>
        <v>9.1999999999999993</v>
      </c>
      <c r="F18" s="11">
        <f>35.9+0.1</f>
        <v>36</v>
      </c>
      <c r="G18" s="11">
        <f>175+37+53</f>
        <v>265</v>
      </c>
      <c r="H18" s="4" t="s">
        <v>117</v>
      </c>
    </row>
    <row r="19" spans="1:8" x14ac:dyDescent="0.25">
      <c r="A19" s="1" t="s">
        <v>9</v>
      </c>
      <c r="B19" s="1" t="s">
        <v>156</v>
      </c>
      <c r="C19" s="8">
        <f>'[1]Калькуляция САД'!G45*1.25</f>
        <v>168.75</v>
      </c>
      <c r="D19" s="16">
        <f>'[1]И ЭТО'!D18*1.25</f>
        <v>12.125</v>
      </c>
      <c r="E19" s="16">
        <f>'[1]И ЭТО'!E18*1.25</f>
        <v>19.125</v>
      </c>
      <c r="F19" s="16">
        <f>'[1]И ЭТО'!F18*1.25</f>
        <v>66.25</v>
      </c>
      <c r="G19" s="16">
        <f>'[1]И ЭТО'!G18*0.5</f>
        <v>195.5</v>
      </c>
      <c r="H19" s="1" t="s">
        <v>155</v>
      </c>
    </row>
    <row r="20" spans="1:8" x14ac:dyDescent="0.25">
      <c r="B20" s="4" t="s">
        <v>143</v>
      </c>
      <c r="C20" s="5">
        <f>'[1]Калькуляция САД'!G52*1.25</f>
        <v>62.5</v>
      </c>
      <c r="D20" s="5">
        <f>'[1]И ЭТО'!D19*1.25</f>
        <v>1.875</v>
      </c>
      <c r="E20" s="5">
        <f>'[1]И ЭТО'!E19*1.25</f>
        <v>2</v>
      </c>
      <c r="F20" s="5">
        <f>'[1]И ЭТО'!F19*1.25</f>
        <v>2.5</v>
      </c>
      <c r="G20" s="5">
        <f>'[1]И ЭТО'!G19*1.25</f>
        <v>36.25</v>
      </c>
      <c r="H20" s="4" t="s">
        <v>1</v>
      </c>
    </row>
    <row r="21" spans="1:8" ht="30" x14ac:dyDescent="0.25">
      <c r="A21" s="1" t="s">
        <v>5</v>
      </c>
      <c r="B21" s="1" t="s">
        <v>154</v>
      </c>
      <c r="C21" s="8">
        <f>'[1]Калькуляция САД'!G55*1.25</f>
        <v>350</v>
      </c>
      <c r="D21" s="8">
        <f>'[1]И ЭТО'!D20*1.25</f>
        <v>25.625</v>
      </c>
      <c r="E21" s="8">
        <f>'[1]И ЭТО'!E20*1.25</f>
        <v>20</v>
      </c>
      <c r="F21" s="8">
        <f>'[1]И ЭТО'!F20*1.25</f>
        <v>55.375</v>
      </c>
      <c r="G21" s="8">
        <f>'[1]И ЭТО'!G20*1.25</f>
        <v>511.25</v>
      </c>
      <c r="H21" s="1" t="s">
        <v>153</v>
      </c>
    </row>
    <row r="22" spans="1:8" x14ac:dyDescent="0.25">
      <c r="B22" s="1" t="s">
        <v>45</v>
      </c>
      <c r="C22" s="8">
        <f>'[1]Калькуляция САД'!G52*1.25</f>
        <v>62.5</v>
      </c>
      <c r="D22" s="8">
        <f>'[1]И ЭТО'!D21*1.25</f>
        <v>0</v>
      </c>
      <c r="E22" s="8">
        <f>'[1]И ЭТО'!E21*1.25</f>
        <v>0</v>
      </c>
      <c r="F22" s="8">
        <f>'[1]И ЭТО'!F21*1.25</f>
        <v>0</v>
      </c>
      <c r="G22" s="8">
        <f>'[1]И ЭТО'!G21*1.25</f>
        <v>1.25</v>
      </c>
      <c r="H22" s="1" t="s">
        <v>1</v>
      </c>
    </row>
    <row r="23" spans="1:8" x14ac:dyDescent="0.25">
      <c r="A23" s="4"/>
      <c r="B23" s="4" t="str">
        <f>'[1]Калькуляция САД'!C66</f>
        <v>Овощи свежие</v>
      </c>
      <c r="C23" s="5">
        <f>'[1]Калькуляция САД'!G67*1.25</f>
        <v>106.25</v>
      </c>
      <c r="D23" s="5">
        <f>'[1]И ЭТО'!D22*1.25</f>
        <v>0.875</v>
      </c>
      <c r="E23" s="5">
        <f>'[1]И ЭТО'!E22*1.25</f>
        <v>0.125</v>
      </c>
      <c r="F23" s="5">
        <f>'[1]И ЭТО'!F22*1.25</f>
        <v>4.375</v>
      </c>
      <c r="G23" s="5">
        <f>'[1]И ЭТО'!G22*1.25</f>
        <v>21.25</v>
      </c>
      <c r="H23" s="4" t="s">
        <v>2</v>
      </c>
    </row>
    <row r="24" spans="1:8" x14ac:dyDescent="0.25">
      <c r="A24" s="2" t="s">
        <v>152</v>
      </c>
      <c r="B24" s="2"/>
      <c r="C24" s="3">
        <f>SUM(C9:C23)</f>
        <v>2194.375</v>
      </c>
      <c r="D24" s="3">
        <f>SUM(D9:D23)</f>
        <v>94.237499999999997</v>
      </c>
      <c r="E24" s="3">
        <f>SUM(E9:E23)</f>
        <v>95.05</v>
      </c>
      <c r="F24" s="3">
        <f>SUM(F9:F23)</f>
        <v>320.3</v>
      </c>
      <c r="G24" s="3">
        <f>SUM(G9:G23)</f>
        <v>2036.4124999999999</v>
      </c>
      <c r="H24" s="2"/>
    </row>
    <row r="26" spans="1:8" ht="15.75" thickBot="1" x14ac:dyDescent="0.3">
      <c r="A26" s="19" t="s">
        <v>151</v>
      </c>
      <c r="B26" s="19"/>
      <c r="C26" s="19"/>
      <c r="D26" s="19"/>
      <c r="E26" s="19"/>
      <c r="F26" s="19"/>
      <c r="G26" s="19"/>
      <c r="H26" s="19"/>
    </row>
    <row r="27" spans="1:8" ht="15.75" thickTop="1" x14ac:dyDescent="0.25">
      <c r="A27" s="1" t="s">
        <v>26</v>
      </c>
      <c r="B27" s="1" t="s">
        <v>150</v>
      </c>
      <c r="C27" s="8">
        <f>'[1]Калькуляция САД'!G103*1.25</f>
        <v>250</v>
      </c>
      <c r="D27" s="8">
        <f>'[1]И ЭТО'!D26*1.25</f>
        <v>12.374999999999998</v>
      </c>
      <c r="E27" s="8">
        <f>'[1]И ЭТО'!E26*1.25</f>
        <v>11.5</v>
      </c>
      <c r="F27" s="8">
        <f>'[1]И ЭТО'!F26*1.25</f>
        <v>45</v>
      </c>
      <c r="G27" s="8">
        <f>'[1]И ЭТО'!G26*1.25</f>
        <v>331.25</v>
      </c>
      <c r="H27" s="1" t="s">
        <v>149</v>
      </c>
    </row>
    <row r="28" spans="1:8" x14ac:dyDescent="0.25">
      <c r="B28" s="1" t="str">
        <f>'[1]Калькуляция САД'!C107</f>
        <v>Сухофрукты</v>
      </c>
      <c r="C28" s="7">
        <f>'[1]Калькуляция САД'!G107*1.25</f>
        <v>12.5</v>
      </c>
      <c r="D28" s="7">
        <f>'[1]И ЭТО'!D27*1.25</f>
        <v>0.375</v>
      </c>
      <c r="E28" s="7">
        <f>'[1]И ЭТО'!E27*1.25</f>
        <v>0.125</v>
      </c>
      <c r="F28" s="7">
        <f>'[1]И ЭТО'!F27*1.25</f>
        <v>7.75</v>
      </c>
      <c r="G28" s="7">
        <f>'[1]И ЭТО'!G27*1.25</f>
        <v>30.625</v>
      </c>
      <c r="H28" s="1" t="s">
        <v>23</v>
      </c>
    </row>
    <row r="29" spans="1:8" ht="30" x14ac:dyDescent="0.25">
      <c r="B29" s="1" t="s">
        <v>148</v>
      </c>
      <c r="C29" s="7">
        <f>'[1]Калькуляция САД'!G108*1.25</f>
        <v>125</v>
      </c>
      <c r="D29" s="8">
        <f>'[1]И ЭТО'!D28*1.25</f>
        <v>0.5</v>
      </c>
      <c r="E29" s="8">
        <f>'[1]И ЭТО'!E28*1.25</f>
        <v>0.5</v>
      </c>
      <c r="F29" s="8">
        <f>'[1]И ЭТО'!F28*1.25</f>
        <v>12.25</v>
      </c>
      <c r="G29" s="8">
        <f>'[1]И ЭТО'!G28*1.25</f>
        <v>58.75</v>
      </c>
      <c r="H29" s="1" t="s">
        <v>147</v>
      </c>
    </row>
    <row r="30" spans="1:8" x14ac:dyDescent="0.25">
      <c r="B30" s="4" t="str">
        <f>'[1]Калькуляция САД'!C109</f>
        <v>Чай черный</v>
      </c>
      <c r="C30" s="5">
        <f>'[1]Калькуляция САД'!G109*1.25</f>
        <v>187.5</v>
      </c>
      <c r="D30" s="5">
        <f>'[1]И ЭТО'!D29*1.25</f>
        <v>0</v>
      </c>
      <c r="E30" s="5">
        <f>'[1]И ЭТО'!E29*1.25</f>
        <v>0</v>
      </c>
      <c r="F30" s="5">
        <f>'[1]И ЭТО'!F29*1.25</f>
        <v>0</v>
      </c>
      <c r="G30" s="5">
        <f>'[1]И ЭТО'!G29*1.25</f>
        <v>1.25</v>
      </c>
      <c r="H30" s="4" t="s">
        <v>1</v>
      </c>
    </row>
    <row r="31" spans="1:8" x14ac:dyDescent="0.25">
      <c r="A31" s="1" t="s">
        <v>18</v>
      </c>
      <c r="B31" s="1" t="s">
        <v>146</v>
      </c>
      <c r="C31" s="8">
        <f>'[1]Калькуляция САД'!G112*1.25</f>
        <v>100</v>
      </c>
      <c r="D31" s="8">
        <f>'[1]И ЭТО'!D30*1.25</f>
        <v>1.875</v>
      </c>
      <c r="E31" s="8">
        <f>'[1]И ЭТО'!E30*1.25</f>
        <v>4.375</v>
      </c>
      <c r="F31" s="8">
        <f>'[1]И ЭТО'!F30*1.25</f>
        <v>2.875</v>
      </c>
      <c r="G31" s="8">
        <f>'[1]И ЭТО'!G30*1.25</f>
        <v>55</v>
      </c>
      <c r="H31" s="1" t="s">
        <v>113</v>
      </c>
    </row>
    <row r="32" spans="1:8" x14ac:dyDescent="0.25">
      <c r="B32" s="1" t="str">
        <f>'[1]Калькуляция САД'!C118</f>
        <v>Суп фасолевый с буковками</v>
      </c>
      <c r="C32" s="8">
        <f>'[1]Калькуляция САД'!G119*1.25</f>
        <v>375</v>
      </c>
      <c r="D32" s="8">
        <f>'[1]И ЭТО'!D31*1.25</f>
        <v>31</v>
      </c>
      <c r="E32" s="8">
        <f>'[1]И ЭТО'!E31*1.25</f>
        <v>15.749999999999996</v>
      </c>
      <c r="F32" s="8">
        <f>'[1]И ЭТО'!F31*1.25</f>
        <v>61.125000000000007</v>
      </c>
      <c r="G32" s="8">
        <f>'[1]И ЭТО'!G31*1</f>
        <v>410</v>
      </c>
      <c r="H32" s="1" t="s">
        <v>145</v>
      </c>
    </row>
    <row r="33" spans="1:8" x14ac:dyDescent="0.25">
      <c r="B33" s="1" t="str">
        <f>'[1]Калькуляция САД'!C130</f>
        <v>Хлеб</v>
      </c>
      <c r="C33" s="7">
        <f>'[1]Калькуляция САД'!G130*1.25</f>
        <v>25</v>
      </c>
      <c r="D33" s="7">
        <f>'[1]И ЭТО'!D32*1.25</f>
        <v>2.125</v>
      </c>
      <c r="E33" s="7">
        <f>'[1]И ЭТО'!E32*1.25</f>
        <v>1.375</v>
      </c>
      <c r="F33" s="7">
        <f>'[1]И ЭТО'!F32*1.25</f>
        <v>13.25</v>
      </c>
      <c r="G33" s="7">
        <f>'[1]И ЭТО'!G32*1.25</f>
        <v>72.5</v>
      </c>
      <c r="H33" s="1" t="s">
        <v>13</v>
      </c>
    </row>
    <row r="34" spans="1:8" x14ac:dyDescent="0.25">
      <c r="B34" s="1" t="str">
        <f>'[1]Калькуляция САД'!C131</f>
        <v>Компот из яблок и груш</v>
      </c>
      <c r="C34" s="7">
        <f>'[1]Калькуляция САД'!G132*1.25</f>
        <v>187.5</v>
      </c>
      <c r="D34" s="7">
        <f>'[1]И ЭТО'!D33*1.25</f>
        <v>0.25</v>
      </c>
      <c r="E34" s="7">
        <f>'[1]И ЭТО'!E33*1.25</f>
        <v>0.25</v>
      </c>
      <c r="F34" s="7">
        <f>'[1]И ЭТО'!F33*1.25</f>
        <v>18.25</v>
      </c>
      <c r="G34" s="7">
        <f>'[1]И ЭТО'!G33*1.25</f>
        <v>76.25</v>
      </c>
      <c r="H34" s="1" t="s">
        <v>12</v>
      </c>
    </row>
    <row r="35" spans="1:8" x14ac:dyDescent="0.25">
      <c r="B35" s="4" t="s">
        <v>111</v>
      </c>
      <c r="C35" s="11">
        <f>'[1]Калькуляция ШК'!G171</f>
        <v>180</v>
      </c>
      <c r="D35" s="11">
        <v>20.3</v>
      </c>
      <c r="E35" s="11">
        <v>22.4</v>
      </c>
      <c r="F35" s="11">
        <v>10.3</v>
      </c>
      <c r="G35" s="11">
        <f>187+8+50</f>
        <v>245</v>
      </c>
      <c r="H35" s="4" t="s">
        <v>47</v>
      </c>
    </row>
    <row r="36" spans="1:8" x14ac:dyDescent="0.25">
      <c r="A36" s="1" t="s">
        <v>9</v>
      </c>
      <c r="B36" s="1" t="str">
        <f>'[1]Калькуляция САД'!C137</f>
        <v>Морковные кексы</v>
      </c>
      <c r="C36" s="8">
        <f>'[1]Калькуляция САД'!G138*1.25</f>
        <v>250</v>
      </c>
      <c r="D36" s="8">
        <f>'[1]И ЭТО'!D34*1.25</f>
        <v>9</v>
      </c>
      <c r="E36" s="8">
        <f>'[1]И ЭТО'!E34*1.25</f>
        <v>10.375</v>
      </c>
      <c r="F36" s="8">
        <f>'[1]И ЭТО'!F34*1.25</f>
        <v>82.25</v>
      </c>
      <c r="G36" s="8">
        <f>'[1]И ЭТО'!G34*0.5</f>
        <v>182</v>
      </c>
      <c r="H36" s="1" t="s">
        <v>144</v>
      </c>
    </row>
    <row r="37" spans="1:8" x14ac:dyDescent="0.25">
      <c r="B37" s="4" t="str">
        <f>'[1]Калькуляция САД'!C148</f>
        <v>Кефир</v>
      </c>
      <c r="C37" s="5">
        <f>'[1]Калькуляция САД'!G148*1.25</f>
        <v>62.5</v>
      </c>
      <c r="D37" s="5">
        <f>'[1]И ЭТО'!D35*1.25</f>
        <v>1.875</v>
      </c>
      <c r="E37" s="5">
        <f>'[1]И ЭТО'!E35*1.25</f>
        <v>2</v>
      </c>
      <c r="F37" s="5">
        <f>'[1]И ЭТО'!F35*1.25</f>
        <v>2.5</v>
      </c>
      <c r="G37" s="5">
        <f>'[1]И ЭТО'!G35*1.25</f>
        <v>36.25</v>
      </c>
      <c r="H37" s="4" t="s">
        <v>73</v>
      </c>
    </row>
    <row r="38" spans="1:8" ht="30" x14ac:dyDescent="0.25">
      <c r="A38" s="1" t="s">
        <v>5</v>
      </c>
      <c r="B38" s="1" t="str">
        <f>'[1]Калькуляция САД'!C150</f>
        <v>Гречка с фермерским цыпленком и подливой</v>
      </c>
      <c r="C38" s="7">
        <f>'[1]Калькуляция САД'!G151*1.25</f>
        <v>312.5</v>
      </c>
      <c r="D38" s="7">
        <f>'[1]И ЭТО'!D36*1.25</f>
        <v>33</v>
      </c>
      <c r="E38" s="7">
        <f>'[1]И ЭТО'!E36*1.25</f>
        <v>29.125</v>
      </c>
      <c r="F38" s="7">
        <f>'[1]И ЭТО'!F36*1.25</f>
        <v>46.125</v>
      </c>
      <c r="G38" s="7">
        <f>'[1]И ЭТО'!G36*1.25</f>
        <v>577.5</v>
      </c>
      <c r="H38" s="1" t="s">
        <v>3</v>
      </c>
    </row>
    <row r="39" spans="1:8" x14ac:dyDescent="0.25">
      <c r="B39" s="1" t="s">
        <v>143</v>
      </c>
      <c r="C39" s="7">
        <f>'[1]Калькуляция САД'!G164*1.25</f>
        <v>187.5</v>
      </c>
      <c r="D39" s="7">
        <f>'[1]И ЭТО'!D37*1.25</f>
        <v>0</v>
      </c>
      <c r="E39" s="7">
        <f>'[1]И ЭТО'!E37*1.25</f>
        <v>0</v>
      </c>
      <c r="F39" s="7">
        <f>'[1]И ЭТО'!F37*1.25</f>
        <v>0</v>
      </c>
      <c r="G39" s="7">
        <f>'[1]И ЭТО'!G37*1.25</f>
        <v>1.25</v>
      </c>
      <c r="H39" s="1" t="s">
        <v>1</v>
      </c>
    </row>
    <row r="40" spans="1:8" x14ac:dyDescent="0.25">
      <c r="A40" s="4"/>
      <c r="B40" s="4" t="str">
        <f>'[1]Калькуляция САД'!C160</f>
        <v>Овощи свежие</v>
      </c>
      <c r="C40" s="5">
        <f>'[1]Калькуляция САД'!G161*1.25</f>
        <v>106.25</v>
      </c>
      <c r="D40" s="5">
        <f>'[1]И ЭТО'!D38*1.25</f>
        <v>0.875</v>
      </c>
      <c r="E40" s="5">
        <f>'[1]И ЭТО'!E38*1.25</f>
        <v>0.125</v>
      </c>
      <c r="F40" s="5">
        <f>'[1]И ЭТО'!F38*1.25</f>
        <v>4.375</v>
      </c>
      <c r="G40" s="5">
        <f>'[1]И ЭТО'!G38*1.25</f>
        <v>21.25</v>
      </c>
      <c r="H40" s="4" t="s">
        <v>2</v>
      </c>
    </row>
    <row r="41" spans="1:8" x14ac:dyDescent="0.25">
      <c r="A41" s="2" t="s">
        <v>142</v>
      </c>
      <c r="B41" s="2"/>
      <c r="C41" s="3">
        <f>SUM(C27:C40)</f>
        <v>2361.25</v>
      </c>
      <c r="D41" s="3">
        <f>SUM(D27:D40)</f>
        <v>113.55</v>
      </c>
      <c r="E41" s="3">
        <f>SUM(E27:E40)</f>
        <v>97.9</v>
      </c>
      <c r="F41" s="3">
        <f>SUM(F27:F40)</f>
        <v>306.05</v>
      </c>
      <c r="G41" s="3">
        <f>SUM(G27:G40)</f>
        <v>2098.875</v>
      </c>
      <c r="H41" s="2"/>
    </row>
    <row r="43" spans="1:8" ht="15.75" thickBot="1" x14ac:dyDescent="0.3">
      <c r="A43" s="19" t="s">
        <v>141</v>
      </c>
      <c r="B43" s="19"/>
      <c r="C43" s="19"/>
      <c r="D43" s="19"/>
      <c r="E43" s="19"/>
      <c r="F43" s="19"/>
      <c r="G43" s="19"/>
      <c r="H43" s="19"/>
    </row>
    <row r="44" spans="1:8" ht="15.75" thickTop="1" x14ac:dyDescent="0.25">
      <c r="A44" s="1" t="s">
        <v>26</v>
      </c>
      <c r="B44" s="1" t="str">
        <f>'[1]Калькуляция САД'!C197</f>
        <v>Омлет</v>
      </c>
      <c r="C44" s="8">
        <f>'[1]Калькуляция САД'!G198*1.25</f>
        <v>150</v>
      </c>
      <c r="D44" s="8">
        <f>'[1]И ЭТО'!D42*1.25</f>
        <v>7.1249999999999991</v>
      </c>
      <c r="E44" s="8">
        <f>'[1]И ЭТО'!E42*1.25</f>
        <v>13.375</v>
      </c>
      <c r="F44" s="8">
        <f>'[1]И ЭТО'!F42*1.25</f>
        <v>1.625</v>
      </c>
      <c r="G44" s="8">
        <f>'[1]И ЭТО'!G42*1.25</f>
        <v>181.25</v>
      </c>
      <c r="H44" s="1" t="s">
        <v>54</v>
      </c>
    </row>
    <row r="45" spans="1:8" ht="30" x14ac:dyDescent="0.25">
      <c r="B45" s="1" t="str">
        <f>'[1]Калькуляция САД'!C202</f>
        <v>Горячий бутерброд с маслом сыром</v>
      </c>
      <c r="C45" s="7">
        <f>'[1]Калькуляция САД'!G202*1.25</f>
        <v>93.75</v>
      </c>
      <c r="D45" s="8">
        <f>'[1]И ЭТО'!D43*1.25</f>
        <v>11.625</v>
      </c>
      <c r="E45" s="8">
        <f>'[1]И ЭТО'!E43*1.25</f>
        <v>15.75</v>
      </c>
      <c r="F45" s="8">
        <f>'[1]И ЭТО'!F43*1.25</f>
        <v>33.25</v>
      </c>
      <c r="G45" s="8">
        <f>'[1]И ЭТО'!G43*1.25</f>
        <v>318.75</v>
      </c>
      <c r="H45" s="1" t="s">
        <v>21</v>
      </c>
    </row>
    <row r="46" spans="1:8" x14ac:dyDescent="0.25">
      <c r="B46" s="1" t="str">
        <f>'[1]Калькуляция САД'!C207</f>
        <v>Банан</v>
      </c>
      <c r="C46" s="7">
        <f>'[1]Калькуляция САД'!G207*1.25</f>
        <v>125</v>
      </c>
      <c r="D46" s="8">
        <f>'[1]И ЭТО'!D44*1.25</f>
        <v>2</v>
      </c>
      <c r="E46" s="8">
        <f>'[1]И ЭТО'!E44*1.25</f>
        <v>0.25</v>
      </c>
      <c r="F46" s="8">
        <f>'[1]И ЭТО'!F44*1.25</f>
        <v>28.75</v>
      </c>
      <c r="G46" s="8">
        <f>'[1]И ЭТО'!G44*1.25</f>
        <v>125</v>
      </c>
      <c r="H46" s="1" t="s">
        <v>67</v>
      </c>
    </row>
    <row r="47" spans="1:8" x14ac:dyDescent="0.25">
      <c r="B47" s="1" t="str">
        <f>'[1]Калькуляция САД'!C206</f>
        <v>Сухофрукты</v>
      </c>
      <c r="C47" s="7">
        <f>'[1]Калькуляция САД'!E206*1.25</f>
        <v>12.5</v>
      </c>
      <c r="D47" s="7">
        <f>'[1]И ЭТО'!D45*1.25</f>
        <v>0.375</v>
      </c>
      <c r="E47" s="7">
        <f>'[1]И ЭТО'!E45*1.25</f>
        <v>0.125</v>
      </c>
      <c r="F47" s="7">
        <f>'[1]И ЭТО'!F45*1.25</f>
        <v>7.75</v>
      </c>
      <c r="G47" s="7">
        <f>'[1]И ЭТО'!G45*1.25</f>
        <v>30.625</v>
      </c>
      <c r="H47" s="1" t="s">
        <v>23</v>
      </c>
    </row>
    <row r="48" spans="1:8" x14ac:dyDescent="0.25">
      <c r="B48" s="4" t="str">
        <f>'[1]Калькуляция САД'!C208</f>
        <v>Чай зеленый</v>
      </c>
      <c r="C48" s="5">
        <f>'[1]Калькуляция САД'!G208*1.25</f>
        <v>187.5</v>
      </c>
      <c r="D48" s="5">
        <f>'[1]И ЭТО'!D46*1.25</f>
        <v>0</v>
      </c>
      <c r="E48" s="5">
        <f>'[1]И ЭТО'!E46*1.25</f>
        <v>0</v>
      </c>
      <c r="F48" s="5">
        <f>'[1]И ЭТО'!F46*1.25</f>
        <v>0</v>
      </c>
      <c r="G48" s="5">
        <f>'[1]И ЭТО'!G46*1.25</f>
        <v>1.25</v>
      </c>
      <c r="H48" s="4" t="s">
        <v>1</v>
      </c>
    </row>
    <row r="49" spans="1:8" x14ac:dyDescent="0.25">
      <c r="A49" s="1" t="s">
        <v>18</v>
      </c>
      <c r="B49" s="1" t="s">
        <v>121</v>
      </c>
      <c r="C49" s="8">
        <f>'[1]Калькуляция САД'!G211*1.25</f>
        <v>150</v>
      </c>
      <c r="D49" s="8">
        <f>'[1]И ЭТО'!D47*1.25</f>
        <v>0.875</v>
      </c>
      <c r="E49" s="8">
        <f>'[1]И ЭТО'!E47*1.25</f>
        <v>4.125</v>
      </c>
      <c r="F49" s="8">
        <f>'[1]И ЭТО'!F47*1.25</f>
        <v>5.25</v>
      </c>
      <c r="G49" s="8">
        <f>'[1]И ЭТО'!G47*1.25</f>
        <v>67.5</v>
      </c>
      <c r="H49" s="1" t="s">
        <v>79</v>
      </c>
    </row>
    <row r="50" spans="1:8" ht="30" x14ac:dyDescent="0.25">
      <c r="B50" s="1" t="str">
        <f>'[1]Калькуляция САД'!C217</f>
        <v>Суп-пюре овощной с индейкой</v>
      </c>
      <c r="C50" s="8">
        <f>'[1]Калькуляция САД'!G218*1.25</f>
        <v>356.25</v>
      </c>
      <c r="D50" s="10">
        <f>'[1]И ЭТО'!D48*1.25</f>
        <v>18.125</v>
      </c>
      <c r="E50" s="10">
        <f>'[1]И ЭТО'!E48*1.25</f>
        <v>10</v>
      </c>
      <c r="F50" s="10">
        <f>'[1]И ЭТО'!F48*1.25</f>
        <v>29.000000000000004</v>
      </c>
      <c r="G50" s="10">
        <f>'[1]И ЭТО'!G48*1.25</f>
        <v>287.5</v>
      </c>
      <c r="H50" s="1" t="s">
        <v>140</v>
      </c>
    </row>
    <row r="51" spans="1:8" x14ac:dyDescent="0.25">
      <c r="B51" s="1" t="str">
        <f>'[1]Калькуляция САД'!C228</f>
        <v>Хлеб</v>
      </c>
      <c r="C51" s="8">
        <f>'[1]Калькуляция САД'!E228*1.25</f>
        <v>25</v>
      </c>
      <c r="D51" s="7">
        <f>'[1]И ЭТО'!D49*1.25</f>
        <v>2.125</v>
      </c>
      <c r="E51" s="7">
        <f>'[1]И ЭТО'!E49*1.25</f>
        <v>1.375</v>
      </c>
      <c r="F51" s="7">
        <f>'[1]И ЭТО'!F49*1.25</f>
        <v>13.25</v>
      </c>
      <c r="G51" s="7">
        <f>'[1]И ЭТО'!G49*1.25</f>
        <v>72.5</v>
      </c>
      <c r="H51" s="1" t="s">
        <v>13</v>
      </c>
    </row>
    <row r="52" spans="1:8" x14ac:dyDescent="0.25">
      <c r="B52" s="1" t="s">
        <v>50</v>
      </c>
      <c r="C52" s="7">
        <f>'[1]Калькуляция САД'!G230*1.25</f>
        <v>187.5</v>
      </c>
      <c r="D52" s="7">
        <f>'[1]И ЭТО'!D50*1.25</f>
        <v>0.375</v>
      </c>
      <c r="E52" s="7">
        <f>'[1]И ЭТО'!E50*1.25</f>
        <v>0.125</v>
      </c>
      <c r="F52" s="7">
        <f>'[1]И ЭТО'!F50*1.25</f>
        <v>16.375</v>
      </c>
      <c r="G52" s="7">
        <f>'[1]И ЭТО'!G50*1.25</f>
        <v>67.5</v>
      </c>
      <c r="H52" s="1" t="s">
        <v>34</v>
      </c>
    </row>
    <row r="53" spans="1:8" ht="30" x14ac:dyDescent="0.25">
      <c r="B53" s="4" t="str">
        <f>'[1]Калькуляция ШК'!C265</f>
        <v>Индейка, запеченная с травами</v>
      </c>
      <c r="C53" s="11">
        <f>'[1]Калькуляция ШК'!G265</f>
        <v>100</v>
      </c>
      <c r="D53" s="11">
        <f>18</f>
        <v>18</v>
      </c>
      <c r="E53" s="11">
        <f>10+5</f>
        <v>15</v>
      </c>
      <c r="F53" s="11">
        <f>0</f>
        <v>0</v>
      </c>
      <c r="G53" s="11">
        <f>160+45</f>
        <v>205</v>
      </c>
      <c r="H53" s="4" t="s">
        <v>139</v>
      </c>
    </row>
    <row r="54" spans="1:8" ht="30" x14ac:dyDescent="0.25">
      <c r="A54" s="1" t="s">
        <v>9</v>
      </c>
      <c r="B54" s="1" t="str">
        <f>'[1]Калькуляция САД'!C234</f>
        <v>Творожная запеканка со сметаной</v>
      </c>
      <c r="C54" s="8">
        <f>'[1]Калькуляция САД'!G235*1.25</f>
        <v>175</v>
      </c>
      <c r="D54" s="10">
        <f>'[1]И ЭТО'!D51*1.25</f>
        <v>19.25</v>
      </c>
      <c r="E54" s="10">
        <f>'[1]И ЭТО'!E51*1.25</f>
        <v>23.375</v>
      </c>
      <c r="F54" s="10">
        <f>'[1]И ЭТО'!F51*1.25</f>
        <v>24.125</v>
      </c>
      <c r="G54" s="10">
        <f>'[1]И ЭТО'!G51*1.25</f>
        <v>393.75</v>
      </c>
      <c r="H54" s="1" t="s">
        <v>86</v>
      </c>
    </row>
    <row r="55" spans="1:8" x14ac:dyDescent="0.25">
      <c r="B55" s="4" t="str">
        <f>'[1]Калькуляция САД'!C243</f>
        <v>Чай зеленый</v>
      </c>
      <c r="C55" s="5">
        <f>'[1]Калькуляция САД'!G243*1.25</f>
        <v>187.5</v>
      </c>
      <c r="D55" s="5">
        <f>'[1]И ЭТО'!D52*1.25</f>
        <v>1.875</v>
      </c>
      <c r="E55" s="5">
        <f>'[1]И ЭТО'!E52*1.25</f>
        <v>2</v>
      </c>
      <c r="F55" s="5">
        <f>'[1]И ЭТО'!F52*1.25</f>
        <v>2.5</v>
      </c>
      <c r="G55" s="5">
        <f>'[1]И ЭТО'!G52*1.25</f>
        <v>36.25</v>
      </c>
      <c r="H55" s="4" t="s">
        <v>1</v>
      </c>
    </row>
    <row r="56" spans="1:8" ht="30" x14ac:dyDescent="0.25">
      <c r="A56" s="1" t="s">
        <v>5</v>
      </c>
      <c r="B56" s="1" t="str">
        <f>'[1]Калькуляция САД'!C245</f>
        <v>Котлеты рыбные с отварным картофелем и зеленью</v>
      </c>
      <c r="C56" s="7">
        <f>'[1]Калькуляция САД'!G246*1.25</f>
        <v>418.75</v>
      </c>
      <c r="D56" s="7">
        <f>'[1]И ЭТО'!D53*1.25</f>
        <v>26.375</v>
      </c>
      <c r="E56" s="7">
        <f>'[1]И ЭТО'!E53*1.25</f>
        <v>14.5875</v>
      </c>
      <c r="F56" s="7">
        <f>'[1]И ЭТО'!F53*1.25</f>
        <v>66.75</v>
      </c>
      <c r="G56" s="7">
        <f>'[1]И ЭТО'!G53*1</f>
        <v>412</v>
      </c>
      <c r="H56" s="1" t="s">
        <v>138</v>
      </c>
    </row>
    <row r="57" spans="1:8" x14ac:dyDescent="0.25">
      <c r="B57" s="1" t="str">
        <f>'[1]Калькуляция САД'!C258</f>
        <v>Чай зеленый</v>
      </c>
      <c r="C57" s="7">
        <f>'[1]Калькуляция САД'!G258*1.25</f>
        <v>187.5</v>
      </c>
      <c r="D57" s="7">
        <f>'[1]И ЭТО'!D54*1.25</f>
        <v>0</v>
      </c>
      <c r="E57" s="7">
        <f>'[1]И ЭТО'!E54*1.25</f>
        <v>0</v>
      </c>
      <c r="F57" s="7">
        <f>'[1]И ЭТО'!F54*1.25</f>
        <v>0</v>
      </c>
      <c r="G57" s="7">
        <f>'[1]И ЭТО'!G54*1.25</f>
        <v>1.25</v>
      </c>
      <c r="H57" s="1" t="s">
        <v>1</v>
      </c>
    </row>
    <row r="58" spans="1:8" x14ac:dyDescent="0.25">
      <c r="A58" s="4"/>
      <c r="B58" s="4" t="str">
        <f>'[1]Калькуляция САД'!C254</f>
        <v>Овощи свежие</v>
      </c>
      <c r="C58" s="5">
        <f>'[1]Калькуляция САД'!G255*1.25</f>
        <v>106.25</v>
      </c>
      <c r="D58" s="5">
        <f>'[1]И ЭТО'!D55*1.25</f>
        <v>0.875</v>
      </c>
      <c r="E58" s="5">
        <f>'[1]И ЭТО'!E55*1.25</f>
        <v>0.125</v>
      </c>
      <c r="F58" s="5">
        <f>'[1]И ЭТО'!F55*1.25</f>
        <v>4.375</v>
      </c>
      <c r="G58" s="5">
        <f>'[1]И ЭТО'!G55*1.25</f>
        <v>21.25</v>
      </c>
      <c r="H58" s="4" t="s">
        <v>2</v>
      </c>
    </row>
    <row r="59" spans="1:8" x14ac:dyDescent="0.25">
      <c r="A59" s="2" t="s">
        <v>137</v>
      </c>
      <c r="B59" s="2"/>
      <c r="C59" s="3">
        <f>SUM(C44:C58)</f>
        <v>2462.5</v>
      </c>
      <c r="D59" s="3">
        <f>SUM(D44:D58)</f>
        <v>109</v>
      </c>
      <c r="E59" s="3">
        <f>SUM(E44:E58)</f>
        <v>100.21250000000001</v>
      </c>
      <c r="F59" s="3">
        <f>SUM(F44:F58)</f>
        <v>233</v>
      </c>
      <c r="G59" s="3">
        <f>SUM(G44:G58)</f>
        <v>2221.375</v>
      </c>
      <c r="H59" s="2"/>
    </row>
    <row r="61" spans="1:8" ht="15.75" thickBot="1" x14ac:dyDescent="0.3">
      <c r="A61" s="19" t="s">
        <v>136</v>
      </c>
      <c r="B61" s="19"/>
      <c r="C61" s="19"/>
      <c r="D61" s="19"/>
      <c r="E61" s="19"/>
      <c r="F61" s="19"/>
      <c r="G61" s="19"/>
      <c r="H61" s="19"/>
    </row>
    <row r="62" spans="1:8" ht="15.75" thickTop="1" x14ac:dyDescent="0.25">
      <c r="A62" s="1" t="s">
        <v>26</v>
      </c>
      <c r="B62" s="1" t="str">
        <f>'[1]Калькуляция САД'!C292</f>
        <v>Каша рисовая</v>
      </c>
      <c r="C62" s="8">
        <f>'[1]Калькуляция САД'!G293*1.25</f>
        <v>250</v>
      </c>
      <c r="D62" s="8">
        <v>3.6</v>
      </c>
      <c r="E62" s="8">
        <v>8.8000000000000007</v>
      </c>
      <c r="F62" s="8">
        <f>38.5+4.9+0.1</f>
        <v>43.5</v>
      </c>
      <c r="G62" s="8">
        <f>175+19+75</f>
        <v>269</v>
      </c>
      <c r="H62" s="1" t="s">
        <v>24</v>
      </c>
    </row>
    <row r="63" spans="1:8" ht="30" x14ac:dyDescent="0.25">
      <c r="B63" s="1" t="str">
        <f>'[1]Калькуляция САД'!C299</f>
        <v>Горячий бутерброд с маслом сыром</v>
      </c>
      <c r="C63" s="7">
        <f>'[1]Калькуляция САД'!G299*1.25</f>
        <v>93.75</v>
      </c>
      <c r="D63" s="8">
        <v>9.3000000000000007</v>
      </c>
      <c r="E63" s="8">
        <v>12.6</v>
      </c>
      <c r="F63" s="8">
        <v>26.6</v>
      </c>
      <c r="G63" s="8">
        <v>255</v>
      </c>
      <c r="H63" s="1" t="s">
        <v>21</v>
      </c>
    </row>
    <row r="64" spans="1:8" x14ac:dyDescent="0.25">
      <c r="B64" s="1" t="str">
        <f>'[1]Калькуляция САД'!C304</f>
        <v>Мандарин</v>
      </c>
      <c r="C64" s="7">
        <f>'[1]Калькуляция САД'!G304*1.25</f>
        <v>125</v>
      </c>
      <c r="D64" s="8">
        <v>0.9</v>
      </c>
      <c r="E64" s="8">
        <v>0.3</v>
      </c>
      <c r="F64" s="8">
        <v>14.2</v>
      </c>
      <c r="G64" s="8">
        <v>56</v>
      </c>
      <c r="H64" s="1" t="s">
        <v>53</v>
      </c>
    </row>
    <row r="65" spans="1:8" x14ac:dyDescent="0.25">
      <c r="B65" s="1" t="str">
        <f>'[1]Калькуляция САД'!C303</f>
        <v>Сухофрукты</v>
      </c>
      <c r="C65" s="7">
        <f>'[1]Калькуляция САД'!E303*1.25</f>
        <v>12.5</v>
      </c>
      <c r="D65" s="7">
        <v>0.3</v>
      </c>
      <c r="E65" s="7">
        <v>0.1</v>
      </c>
      <c r="F65" s="7">
        <v>6.2</v>
      </c>
      <c r="G65" s="7">
        <v>24.5</v>
      </c>
      <c r="H65" s="1" t="s">
        <v>23</v>
      </c>
    </row>
    <row r="66" spans="1:8" x14ac:dyDescent="0.25">
      <c r="B66" s="4" t="str">
        <f>'[1]Калькуляция САД'!C305</f>
        <v>Чай черный</v>
      </c>
      <c r="C66" s="5">
        <f>'[1]Калькуляция САД'!G304*1.25</f>
        <v>125</v>
      </c>
      <c r="D66" s="5">
        <v>0</v>
      </c>
      <c r="E66" s="5">
        <v>0</v>
      </c>
      <c r="F66" s="5">
        <v>0</v>
      </c>
      <c r="G66" s="5">
        <v>1</v>
      </c>
      <c r="H66" s="4" t="s">
        <v>1</v>
      </c>
    </row>
    <row r="67" spans="1:8" x14ac:dyDescent="0.25">
      <c r="A67" s="1" t="s">
        <v>18</v>
      </c>
      <c r="B67" s="1" t="str">
        <f>'[1]Калькуляция САД'!C307</f>
        <v>Винегрет</v>
      </c>
      <c r="C67" s="8">
        <f>'[1]Калькуляция САД'!G308*1.25</f>
        <v>218.75</v>
      </c>
      <c r="D67" s="8">
        <f>0.8+0.2+0.2+0.5+0.2+0.2</f>
        <v>2.1</v>
      </c>
      <c r="E67" s="8">
        <f>0.1+0.1+5</f>
        <v>5.2</v>
      </c>
      <c r="F67" s="8">
        <f>6.8+1.2+0.9+1.5+1.3+0.3</f>
        <v>12.000000000000002</v>
      </c>
      <c r="G67" s="8">
        <f>32+6+4+9+6+45+2</f>
        <v>104</v>
      </c>
      <c r="H67" s="1" t="s">
        <v>135</v>
      </c>
    </row>
    <row r="68" spans="1:8" ht="30" x14ac:dyDescent="0.25">
      <c r="B68" s="1" t="str">
        <f>'[1]Калькуляция САД'!C316</f>
        <v>Сырный суп-пюре овощной с индейкой</v>
      </c>
      <c r="C68" s="8">
        <f>'[1]Калькуляция САД'!G317*1.25</f>
        <v>375</v>
      </c>
      <c r="D68" s="8">
        <f>4.6+0.2+4.8+0.1+8.9</f>
        <v>18.600000000000001</v>
      </c>
      <c r="E68" s="8">
        <f>0.6+6.9+4.1+4.1</f>
        <v>15.7</v>
      </c>
      <c r="F68" s="8">
        <f>0.3+1.6+1.4+0.1+3.7</f>
        <v>7.1</v>
      </c>
      <c r="G68" s="8">
        <f>25+6+87+37+72</f>
        <v>227</v>
      </c>
      <c r="H68" s="1" t="s">
        <v>134</v>
      </c>
    </row>
    <row r="69" spans="1:8" x14ac:dyDescent="0.25">
      <c r="B69" s="1" t="str">
        <f>'[1]Калькуляция САД'!C324</f>
        <v>Гренки</v>
      </c>
      <c r="C69" s="8">
        <f>'[1]Калькуляция САД'!G324*1.25</f>
        <v>25</v>
      </c>
      <c r="D69" s="7">
        <v>1.7</v>
      </c>
      <c r="E69" s="7">
        <v>1.1000000000000001</v>
      </c>
      <c r="F69" s="7">
        <v>10.6</v>
      </c>
      <c r="G69" s="7">
        <v>58</v>
      </c>
      <c r="H69" s="1" t="s">
        <v>64</v>
      </c>
    </row>
    <row r="70" spans="1:8" x14ac:dyDescent="0.25">
      <c r="B70" s="1" t="str">
        <f>'[1]Калькуляция САД'!C325</f>
        <v>Компот из ягод</v>
      </c>
      <c r="C70" s="7">
        <f>'[1]Калькуляция САД'!G326*1.25</f>
        <v>187.5</v>
      </c>
      <c r="D70" s="7">
        <v>0.1</v>
      </c>
      <c r="E70" s="7">
        <v>0.1</v>
      </c>
      <c r="F70" s="7">
        <v>11.7</v>
      </c>
      <c r="G70" s="7">
        <v>48</v>
      </c>
      <c r="H70" s="1" t="s">
        <v>34</v>
      </c>
    </row>
    <row r="71" spans="1:8" x14ac:dyDescent="0.25">
      <c r="B71" s="4" t="str">
        <f>'[1]Калькуляция ШК'!C366</f>
        <v>Крокеты из индейки</v>
      </c>
      <c r="C71" s="11">
        <f>'[1]Калькуляция ШК'!G366</f>
        <v>100</v>
      </c>
      <c r="D71" s="11">
        <f>24.5+0.1+1.2</f>
        <v>25.8</v>
      </c>
      <c r="E71" s="11">
        <f>6.1+5+0.84</f>
        <v>11.94</v>
      </c>
      <c r="F71" s="11">
        <f>0.1+0.6+0.1+8</f>
        <v>8.8000000000000007</v>
      </c>
      <c r="G71" s="11">
        <f>155+2+45+43.5</f>
        <v>245.5</v>
      </c>
      <c r="H71" s="4" t="s">
        <v>62</v>
      </c>
    </row>
    <row r="72" spans="1:8" ht="30" x14ac:dyDescent="0.25">
      <c r="A72" s="1" t="s">
        <v>9</v>
      </c>
      <c r="B72" s="1" t="str">
        <f>'[1]Калькуляция САД'!C330</f>
        <v>Бельгийские вафли с домашним вареньем</v>
      </c>
      <c r="C72" s="8">
        <f>'[1]Калькуляция САД'!G331*1.25</f>
        <v>218.75</v>
      </c>
      <c r="D72" s="8">
        <f>1.6+0.7+3+0.2</f>
        <v>5.5</v>
      </c>
      <c r="E72" s="8">
        <f>1.4+5+0.5+0.1+2</f>
        <v>9</v>
      </c>
      <c r="F72" s="8">
        <f>16+0.7+15.5+2.3+18.9</f>
        <v>53.4</v>
      </c>
      <c r="G72" s="8">
        <f>20+62+51+78+12+73+20</f>
        <v>316</v>
      </c>
      <c r="H72" s="1" t="s">
        <v>104</v>
      </c>
    </row>
    <row r="73" spans="1:8" x14ac:dyDescent="0.25">
      <c r="B73" s="4" t="str">
        <f>'[1]Калькуляция САД'!C342</f>
        <v>Чай черный</v>
      </c>
      <c r="C73" s="5">
        <f>'[1]Калькуляция САД'!G342*1.25</f>
        <v>187.5</v>
      </c>
      <c r="D73" s="5">
        <v>0</v>
      </c>
      <c r="E73" s="5">
        <v>0</v>
      </c>
      <c r="F73" s="5">
        <v>0</v>
      </c>
      <c r="G73" s="5">
        <v>0</v>
      </c>
      <c r="H73" s="4" t="s">
        <v>1</v>
      </c>
    </row>
    <row r="74" spans="1:8" x14ac:dyDescent="0.25">
      <c r="A74" s="1" t="s">
        <v>5</v>
      </c>
      <c r="B74" s="1" t="s">
        <v>133</v>
      </c>
      <c r="C74" s="7">
        <f>'[1]Калькуляция САД'!G345*1.25</f>
        <v>375</v>
      </c>
      <c r="D74" s="7">
        <f>9.5+0.1+3+0.3+0.2+0.1+4.7</f>
        <v>17.899999999999999</v>
      </c>
      <c r="E74" s="7">
        <f>6.2+0.1+0.1+0.1+4.1+3.1</f>
        <v>13.699999999999998</v>
      </c>
      <c r="F74" s="7">
        <f>1+0.2+26.2+1.4+0.8+5+0.1+0</f>
        <v>34.699999999999996</v>
      </c>
      <c r="G74" s="7">
        <f>94+4+1+135+6+4+45+37+47</f>
        <v>373</v>
      </c>
      <c r="H74" s="1" t="s">
        <v>132</v>
      </c>
    </row>
    <row r="75" spans="1:8" x14ac:dyDescent="0.25">
      <c r="B75" s="1" t="str">
        <f>'[1]Калькуляция САД'!C355</f>
        <v>Овощи свежие</v>
      </c>
      <c r="C75" s="7">
        <f>'[1]Калькуляция САД'!G356*1.25</f>
        <v>106.25</v>
      </c>
      <c r="D75" s="7">
        <v>0.7</v>
      </c>
      <c r="E75" s="7">
        <v>0.1</v>
      </c>
      <c r="F75" s="7">
        <v>3.5</v>
      </c>
      <c r="G75" s="7">
        <v>17</v>
      </c>
      <c r="H75" s="6" t="s">
        <v>2</v>
      </c>
    </row>
    <row r="76" spans="1:8" x14ac:dyDescent="0.25">
      <c r="A76" s="4"/>
      <c r="B76" s="4" t="str">
        <f>'[1]Калькуляция САД'!C359</f>
        <v>Чай черный</v>
      </c>
      <c r="C76" s="5">
        <f>'[1]Калькуляция САД'!G359*1.25</f>
        <v>187.5</v>
      </c>
      <c r="D76" s="5">
        <v>0</v>
      </c>
      <c r="E76" s="5">
        <v>0</v>
      </c>
      <c r="F76" s="5">
        <v>0</v>
      </c>
      <c r="G76" s="5">
        <v>1</v>
      </c>
      <c r="H76" s="4" t="s">
        <v>1</v>
      </c>
    </row>
    <row r="77" spans="1:8" x14ac:dyDescent="0.25">
      <c r="A77" s="2" t="s">
        <v>131</v>
      </c>
      <c r="B77" s="2"/>
      <c r="C77" s="3">
        <f>SUM(C62:C76)</f>
        <v>2587.5</v>
      </c>
      <c r="D77" s="3">
        <f>SUM(D62:D76)</f>
        <v>86.500000000000014</v>
      </c>
      <c r="E77" s="3">
        <f>SUM(E62:E76)</f>
        <v>78.64</v>
      </c>
      <c r="F77" s="3">
        <f>SUM(F62:F76)</f>
        <v>232.29999999999998</v>
      </c>
      <c r="G77" s="3">
        <f>SUM(G62:G76)</f>
        <v>1995</v>
      </c>
      <c r="H77" s="2"/>
    </row>
    <row r="79" spans="1:8" ht="15.75" thickBot="1" x14ac:dyDescent="0.3">
      <c r="A79" s="19" t="s">
        <v>130</v>
      </c>
      <c r="B79" s="19"/>
      <c r="C79" s="19"/>
      <c r="D79" s="19"/>
      <c r="E79" s="19"/>
      <c r="F79" s="19"/>
      <c r="G79" s="19"/>
      <c r="H79" s="19"/>
    </row>
    <row r="80" spans="1:8" ht="15.75" thickTop="1" x14ac:dyDescent="0.25">
      <c r="A80" s="1" t="s">
        <v>26</v>
      </c>
      <c r="B80" s="1" t="str">
        <f>'[1]Калькуляция САД'!C387</f>
        <v>Скрэмбл</v>
      </c>
      <c r="C80" s="8">
        <f>'[1]Калькуляция САД'!G388*1.25</f>
        <v>150</v>
      </c>
      <c r="D80" s="10">
        <v>12.8</v>
      </c>
      <c r="E80" s="10">
        <f>10.9+5.8</f>
        <v>16.7</v>
      </c>
      <c r="F80" s="10">
        <v>0.8</v>
      </c>
      <c r="G80" s="10">
        <v>215</v>
      </c>
      <c r="H80" s="1" t="s">
        <v>80</v>
      </c>
    </row>
    <row r="81" spans="1:8" ht="30" x14ac:dyDescent="0.25">
      <c r="B81" s="1" t="str">
        <f>'[1]Калькуляция САД'!C392</f>
        <v>Горячий бутерброд с маслом сыром</v>
      </c>
      <c r="C81" s="7">
        <f>'[1]Калькуляция САД'!G392*1.25</f>
        <v>93.75</v>
      </c>
      <c r="D81" s="8">
        <v>9.3000000000000007</v>
      </c>
      <c r="E81" s="8">
        <v>12.6</v>
      </c>
      <c r="F81" s="8">
        <v>26.6</v>
      </c>
      <c r="G81" s="8">
        <v>255</v>
      </c>
      <c r="H81" s="1" t="s">
        <v>21</v>
      </c>
    </row>
    <row r="82" spans="1:8" x14ac:dyDescent="0.25">
      <c r="B82" s="1" t="str">
        <f>'[1]Калькуляция САД'!C396</f>
        <v>Сухофрукты</v>
      </c>
      <c r="C82" s="7">
        <f>'[1]Калькуляция САД'!G396*1.25</f>
        <v>12.5</v>
      </c>
      <c r="D82" s="7">
        <v>0.3</v>
      </c>
      <c r="E82" s="7">
        <v>0.1</v>
      </c>
      <c r="F82" s="7">
        <v>6.2</v>
      </c>
      <c r="G82" s="7">
        <v>24.5</v>
      </c>
      <c r="H82" s="1" t="s">
        <v>23</v>
      </c>
    </row>
    <row r="83" spans="1:8" x14ac:dyDescent="0.25">
      <c r="B83" s="1" t="str">
        <f>'[1]Калькуляция САД'!C397</f>
        <v>Яблоко</v>
      </c>
      <c r="C83" s="7">
        <f>'[1]Калькуляция САД'!G397*1.25</f>
        <v>125</v>
      </c>
      <c r="D83" s="7">
        <v>0.4</v>
      </c>
      <c r="E83" s="7">
        <v>0.4</v>
      </c>
      <c r="F83" s="7">
        <v>9.8000000000000007</v>
      </c>
      <c r="G83" s="7">
        <v>47</v>
      </c>
      <c r="H83" s="1" t="s">
        <v>19</v>
      </c>
    </row>
    <row r="84" spans="1:8" x14ac:dyDescent="0.25">
      <c r="B84" s="4" t="str">
        <f>'[1]Калькуляция САД'!C398</f>
        <v>Чай зеленый</v>
      </c>
      <c r="C84" s="5">
        <f>'[1]Калькуляция САД'!G398*1.25</f>
        <v>187.5</v>
      </c>
      <c r="D84" s="5">
        <v>0</v>
      </c>
      <c r="E84" s="5">
        <v>0</v>
      </c>
      <c r="F84" s="5">
        <v>0</v>
      </c>
      <c r="G84" s="5">
        <v>1</v>
      </c>
      <c r="H84" s="4" t="s">
        <v>1</v>
      </c>
    </row>
    <row r="85" spans="1:8" x14ac:dyDescent="0.25">
      <c r="A85" s="1" t="s">
        <v>18</v>
      </c>
      <c r="B85" s="1" t="str">
        <f>'[1]Калькуляция САД'!C400</f>
        <v>Салат "Витамин"</v>
      </c>
      <c r="C85" s="8">
        <f>'[1]Калькуляция САД'!G401*1.25</f>
        <v>143.75</v>
      </c>
      <c r="D85" s="8">
        <f>0.3+0.3+0.1+0.5</f>
        <v>1.2</v>
      </c>
      <c r="E85" s="8">
        <f>0.1*3+0.25+5</f>
        <v>5.55</v>
      </c>
      <c r="F85" s="8">
        <f>0.6+1.4+2+1.5+0.1</f>
        <v>5.6</v>
      </c>
      <c r="G85" s="8">
        <f>3+6+9+7.5+45</f>
        <v>70.5</v>
      </c>
      <c r="H85" s="1" t="s">
        <v>129</v>
      </c>
    </row>
    <row r="86" spans="1:8" x14ac:dyDescent="0.25">
      <c r="B86" s="1" t="s">
        <v>128</v>
      </c>
      <c r="C86" s="8">
        <f>'[1]Калькуляция САД'!G409*1.25</f>
        <v>356.25</v>
      </c>
      <c r="D86" s="8">
        <f>11.3+0.1+0.1+2.4+0.2+0.2+0.1</f>
        <v>14.399999999999999</v>
      </c>
      <c r="E86" s="8">
        <f>7.4+0.1+0.4+0.1+4.1</f>
        <v>12.1</v>
      </c>
      <c r="F86" s="8">
        <f>0.1+1+0.8+20.4+1+0.8+0.7+0.1</f>
        <v>24.9</v>
      </c>
      <c r="G86" s="8">
        <f>112+5+4+96+5+4+4+37</f>
        <v>267</v>
      </c>
      <c r="H86" s="1" t="s">
        <v>127</v>
      </c>
    </row>
    <row r="87" spans="1:8" x14ac:dyDescent="0.25">
      <c r="B87" s="1" t="str">
        <f>'[1]Калькуляция САД'!C419</f>
        <v>Хлеб</v>
      </c>
      <c r="C87" s="7">
        <f>'[1]Калькуляция САД'!G419*1.25</f>
        <v>25</v>
      </c>
      <c r="D87" s="7">
        <v>1.7</v>
      </c>
      <c r="E87" s="7">
        <v>1.1000000000000001</v>
      </c>
      <c r="F87" s="7">
        <v>10.6</v>
      </c>
      <c r="G87" s="7">
        <f>116/2</f>
        <v>58</v>
      </c>
      <c r="H87" s="1" t="s">
        <v>13</v>
      </c>
    </row>
    <row r="88" spans="1:8" x14ac:dyDescent="0.25">
      <c r="B88" s="1" t="str">
        <f>'[1]Калькуляция САД'!C420</f>
        <v>Компот из сухофруктов</v>
      </c>
      <c r="C88" s="7">
        <f>'[1]Калькуляция САД'!G421*1.25</f>
        <v>187.5</v>
      </c>
      <c r="D88" s="7">
        <v>0.8</v>
      </c>
      <c r="E88" s="7">
        <v>0.1</v>
      </c>
      <c r="F88" s="7">
        <f>14.9+5.2</f>
        <v>20.100000000000001</v>
      </c>
      <c r="G88" s="7">
        <f>64+20</f>
        <v>84</v>
      </c>
      <c r="H88" s="1" t="s">
        <v>126</v>
      </c>
    </row>
    <row r="89" spans="1:8" x14ac:dyDescent="0.25">
      <c r="B89" s="4" t="s">
        <v>125</v>
      </c>
      <c r="C89" s="11">
        <f>'[1]Калькуляция ШК'!G456</f>
        <v>135</v>
      </c>
      <c r="D89" s="11">
        <f>6.1+3.8</f>
        <v>9.8999999999999986</v>
      </c>
      <c r="E89" s="11">
        <f>9.2</f>
        <v>9.1999999999999993</v>
      </c>
      <c r="F89" s="11">
        <f>35.9+0.1</f>
        <v>36</v>
      </c>
      <c r="G89" s="11">
        <f>175+37+53</f>
        <v>265</v>
      </c>
      <c r="H89" s="4" t="s">
        <v>98</v>
      </c>
    </row>
    <row r="90" spans="1:8" x14ac:dyDescent="0.25">
      <c r="A90" s="1" t="s">
        <v>9</v>
      </c>
      <c r="B90" s="1" t="str">
        <f>'[1]Калькуляция САД'!C425</f>
        <v>Бисквит шоколадный</v>
      </c>
      <c r="C90" s="8">
        <f>'[1]Калькуляция САД'!G426*1.25</f>
        <v>187.5</v>
      </c>
      <c r="D90" s="8">
        <f>2.8+1.3+2.9+0.1</f>
        <v>7.1</v>
      </c>
      <c r="E90" s="8">
        <f>2.4+1.3+0.2+1.7</f>
        <v>5.6000000000000005</v>
      </c>
      <c r="F90" s="8">
        <f>0.2+1.7+32.8+0.1+21</f>
        <v>55.8</v>
      </c>
      <c r="G90" s="8">
        <f>35+24+145+15+81</f>
        <v>300</v>
      </c>
      <c r="H90" s="1" t="s">
        <v>124</v>
      </c>
    </row>
    <row r="91" spans="1:8" x14ac:dyDescent="0.25">
      <c r="B91" s="4" t="str">
        <f>'[1]Калькуляция САД'!C436</f>
        <v>Кефир</v>
      </c>
      <c r="C91" s="5">
        <f>'[1]Калькуляция САД'!G436*1.25</f>
        <v>62.5</v>
      </c>
      <c r="D91" s="5">
        <v>1.5</v>
      </c>
      <c r="E91" s="5">
        <v>1.6</v>
      </c>
      <c r="F91" s="5">
        <v>2</v>
      </c>
      <c r="G91" s="5">
        <v>29</v>
      </c>
      <c r="H91" s="4" t="s">
        <v>73</v>
      </c>
    </row>
    <row r="92" spans="1:8" x14ac:dyDescent="0.25">
      <c r="A92" s="1" t="s">
        <v>5</v>
      </c>
      <c r="B92" s="1" t="str">
        <f>'[1]Калькуляция САД'!C438</f>
        <v>Плов с говядиной</v>
      </c>
      <c r="C92" s="7">
        <f>'[1]Калькуляция САД'!G439*1.25</f>
        <v>343.75</v>
      </c>
      <c r="D92" s="8">
        <f>16.7+0.7</f>
        <v>17.399999999999999</v>
      </c>
      <c r="E92" s="8">
        <f>15.8+0.1</f>
        <v>15.9</v>
      </c>
      <c r="F92" s="8">
        <f>36.5+7.7</f>
        <v>44.2</v>
      </c>
      <c r="G92" s="8">
        <f>357+35</f>
        <v>392</v>
      </c>
      <c r="H92" s="1" t="s">
        <v>29</v>
      </c>
    </row>
    <row r="93" spans="1:8" x14ac:dyDescent="0.25">
      <c r="B93" s="1" t="str">
        <f>'[1]Калькуляция САД'!C445</f>
        <v>Овощи свежие</v>
      </c>
      <c r="C93" s="7">
        <f>'[1]Калькуляция САД'!G446*1.25</f>
        <v>106.25</v>
      </c>
      <c r="D93" s="7">
        <v>0.7</v>
      </c>
      <c r="E93" s="7">
        <v>0.1</v>
      </c>
      <c r="F93" s="7">
        <v>3.5</v>
      </c>
      <c r="G93" s="7">
        <v>17</v>
      </c>
      <c r="H93" s="6" t="s">
        <v>2</v>
      </c>
    </row>
    <row r="94" spans="1:8" x14ac:dyDescent="0.25">
      <c r="A94" s="4"/>
      <c r="B94" s="4" t="str">
        <f>'[1]Калькуляция САД'!C449</f>
        <v>Чай зеленый</v>
      </c>
      <c r="C94" s="5">
        <f>'[1]Калькуляция САД'!G449*1.25</f>
        <v>187.5</v>
      </c>
      <c r="D94" s="5"/>
      <c r="E94" s="5"/>
      <c r="F94" s="5"/>
      <c r="G94" s="5">
        <v>1</v>
      </c>
      <c r="H94" s="4" t="s">
        <v>1</v>
      </c>
    </row>
    <row r="95" spans="1:8" x14ac:dyDescent="0.25">
      <c r="A95" s="2" t="s">
        <v>123</v>
      </c>
      <c r="B95" s="2"/>
      <c r="C95" s="3">
        <f>SUM(C80:C94)</f>
        <v>2303.75</v>
      </c>
      <c r="D95" s="3">
        <f>SUM(D80:D94)</f>
        <v>77.5</v>
      </c>
      <c r="E95" s="3">
        <f>SUM(E80:E94)</f>
        <v>81.05</v>
      </c>
      <c r="F95" s="3">
        <f>SUM(F80:F94)</f>
        <v>246.09999999999997</v>
      </c>
      <c r="G95" s="3">
        <f>SUM(G80:G94)</f>
        <v>2026</v>
      </c>
      <c r="H95" s="2"/>
    </row>
    <row r="97" spans="1:8" ht="15.75" thickBot="1" x14ac:dyDescent="0.3">
      <c r="A97" s="19" t="s">
        <v>122</v>
      </c>
      <c r="B97" s="19"/>
      <c r="C97" s="19"/>
      <c r="D97" s="19"/>
      <c r="E97" s="19"/>
      <c r="F97" s="19"/>
      <c r="G97" s="19"/>
      <c r="H97" s="19"/>
    </row>
    <row r="98" spans="1:8" ht="15.75" thickTop="1" x14ac:dyDescent="0.25">
      <c r="A98" s="1" t="s">
        <v>26</v>
      </c>
      <c r="B98" s="1" t="str">
        <f>'[1]Калькуляция САД'!C482</f>
        <v>Каша пшеничная</v>
      </c>
      <c r="C98" s="8">
        <f>'[1]Калькуляция САД'!G483*1.25</f>
        <v>250</v>
      </c>
      <c r="D98" s="8">
        <v>6.1</v>
      </c>
      <c r="E98" s="8">
        <v>9.1</v>
      </c>
      <c r="F98" s="8">
        <v>3.2</v>
      </c>
      <c r="G98" s="8">
        <f>155+75</f>
        <v>230</v>
      </c>
      <c r="H98" s="1" t="s">
        <v>40</v>
      </c>
    </row>
    <row r="99" spans="1:8" x14ac:dyDescent="0.25">
      <c r="B99" s="1" t="str">
        <f>'[1]Калькуляция САД'!C489</f>
        <v>Сухофрукты</v>
      </c>
      <c r="C99" s="7">
        <f>'[1]Калькуляция САД'!G489*1.25</f>
        <v>12.5</v>
      </c>
      <c r="D99" s="7">
        <v>0.3</v>
      </c>
      <c r="E99" s="7">
        <v>0.1</v>
      </c>
      <c r="F99" s="7">
        <v>6.2</v>
      </c>
      <c r="G99" s="7">
        <v>24.5</v>
      </c>
      <c r="H99" s="1" t="s">
        <v>23</v>
      </c>
    </row>
    <row r="100" spans="1:8" ht="30" x14ac:dyDescent="0.25">
      <c r="B100" s="1" t="str">
        <f>'[1]Калькуляция САД'!C490</f>
        <v>Горячий бутерброд с маслом сыром</v>
      </c>
      <c r="C100" s="7">
        <f>'[1]Калькуляция САД'!G490*1.25</f>
        <v>93.75</v>
      </c>
      <c r="D100" s="8">
        <v>9.3000000000000007</v>
      </c>
      <c r="E100" s="8">
        <v>12.6</v>
      </c>
      <c r="F100" s="8">
        <v>26.6</v>
      </c>
      <c r="G100" s="8">
        <v>255</v>
      </c>
      <c r="H100" s="1" t="s">
        <v>21</v>
      </c>
    </row>
    <row r="101" spans="1:8" x14ac:dyDescent="0.25">
      <c r="B101" s="1" t="str">
        <f>'[1]Калькуляция САД'!C494</f>
        <v>Груша</v>
      </c>
      <c r="C101" s="7">
        <f>'[1]Калькуляция САД'!G494*1.25</f>
        <v>125</v>
      </c>
      <c r="D101" s="7">
        <v>0.9</v>
      </c>
      <c r="E101" s="7">
        <v>1.9</v>
      </c>
      <c r="F101" s="7">
        <v>12.4</v>
      </c>
      <c r="G101" s="7">
        <v>54</v>
      </c>
      <c r="H101" s="1" t="s">
        <v>39</v>
      </c>
    </row>
    <row r="102" spans="1:8" x14ac:dyDescent="0.25">
      <c r="B102" s="4" t="str">
        <f>'[1]Калькуляция САД'!C495</f>
        <v>Чай черный</v>
      </c>
      <c r="C102" s="5">
        <f>'[1]Калькуляция САД'!G495*1.25</f>
        <v>187.5</v>
      </c>
      <c r="D102" s="5">
        <v>0</v>
      </c>
      <c r="E102" s="5">
        <v>0</v>
      </c>
      <c r="F102" s="5">
        <v>0</v>
      </c>
      <c r="G102" s="5">
        <v>1</v>
      </c>
      <c r="H102" s="4" t="s">
        <v>1</v>
      </c>
    </row>
    <row r="103" spans="1:8" x14ac:dyDescent="0.25">
      <c r="A103" s="1" t="s">
        <v>18</v>
      </c>
      <c r="B103" s="1" t="s">
        <v>121</v>
      </c>
      <c r="C103" s="8">
        <f>'[1]Калькуляция САД'!G498*1.25</f>
        <v>112.5</v>
      </c>
      <c r="D103" s="8">
        <f>0.6+0.3+0.3</f>
        <v>1.2</v>
      </c>
      <c r="E103" s="8">
        <f>0.1+5</f>
        <v>5.0999999999999996</v>
      </c>
      <c r="F103" s="8">
        <f>5.2+0.7+0.4+0.1</f>
        <v>6.4</v>
      </c>
      <c r="G103" s="8">
        <f>27+4+3+45+2</f>
        <v>81</v>
      </c>
      <c r="H103" s="1" t="s">
        <v>79</v>
      </c>
    </row>
    <row r="104" spans="1:8" x14ac:dyDescent="0.25">
      <c r="B104" s="1" t="str">
        <f>'[1]Калькуляция САД'!C504</f>
        <v>Суп-рагу Рыбный</v>
      </c>
      <c r="C104" s="8">
        <f>'[1]Калькуляция САД'!G505*1.25</f>
        <v>400</v>
      </c>
      <c r="D104" s="8">
        <f>18+0.1+0.3+2+0.4+0.3</f>
        <v>21.1</v>
      </c>
      <c r="E104" s="8">
        <f>0.6+0.1+0.3+0.1+5</f>
        <v>6.1</v>
      </c>
      <c r="F104" s="8">
        <f>0.7+0.9+15+1.5+2.1</f>
        <v>20.200000000000003</v>
      </c>
      <c r="G104" s="8">
        <f>86+3+4+67+8+10+45</f>
        <v>223</v>
      </c>
      <c r="H104" s="1" t="s">
        <v>120</v>
      </c>
    </row>
    <row r="105" spans="1:8" x14ac:dyDescent="0.25">
      <c r="B105" s="1" t="str">
        <f>'[1]Калькуляция САД'!C514</f>
        <v>Хлеб</v>
      </c>
      <c r="C105" s="8">
        <f>'[1]Калькуляция САД'!G514*1.25</f>
        <v>25</v>
      </c>
      <c r="D105" s="7">
        <v>1.7</v>
      </c>
      <c r="E105" s="7">
        <v>1.1000000000000001</v>
      </c>
      <c r="F105" s="7">
        <v>10.6</v>
      </c>
      <c r="G105" s="7">
        <v>58</v>
      </c>
      <c r="H105" s="1" t="s">
        <v>13</v>
      </c>
    </row>
    <row r="106" spans="1:8" x14ac:dyDescent="0.25">
      <c r="B106" s="1" t="s">
        <v>119</v>
      </c>
      <c r="C106" s="7">
        <f>'[1]Калькуляция САД'!G516*1.25</f>
        <v>187.5</v>
      </c>
      <c r="D106" s="7">
        <v>0.1</v>
      </c>
      <c r="E106" s="7">
        <v>0.1</v>
      </c>
      <c r="F106" s="7">
        <v>11.7</v>
      </c>
      <c r="G106" s="7">
        <v>48</v>
      </c>
      <c r="H106" s="14" t="s">
        <v>34</v>
      </c>
    </row>
    <row r="107" spans="1:8" x14ac:dyDescent="0.25">
      <c r="B107" s="4" t="s">
        <v>118</v>
      </c>
      <c r="C107" s="11">
        <f>'[1]Калькуляция ШК'!G551</f>
        <v>120</v>
      </c>
      <c r="D107" s="11">
        <f>18+0.1+1.5</f>
        <v>19.600000000000001</v>
      </c>
      <c r="E107" s="11">
        <f>0.6+5+1</f>
        <v>6.6</v>
      </c>
      <c r="F107" s="11">
        <f>0.1+0.6+0.1+10</f>
        <v>10.8</v>
      </c>
      <c r="G107" s="11">
        <f>86+2+45+50</f>
        <v>183</v>
      </c>
      <c r="H107" s="4" t="s">
        <v>117</v>
      </c>
    </row>
    <row r="108" spans="1:8" x14ac:dyDescent="0.25">
      <c r="A108" s="1" t="s">
        <v>9</v>
      </c>
      <c r="B108" s="1" t="str">
        <f>'[1]Калькуляция САД'!C520</f>
        <v>Сырники со сметаной</v>
      </c>
      <c r="C108" s="8">
        <f>'[1]Калькуляция САД'!G521*1.25</f>
        <v>250</v>
      </c>
      <c r="D108" s="10">
        <v>20.2</v>
      </c>
      <c r="E108" s="10">
        <v>23.1</v>
      </c>
      <c r="F108" s="10">
        <v>44.6</v>
      </c>
      <c r="G108" s="10">
        <v>407</v>
      </c>
      <c r="H108" s="1" t="s">
        <v>46</v>
      </c>
    </row>
    <row r="109" spans="1:8" x14ac:dyDescent="0.25">
      <c r="B109" s="4" t="str">
        <f>'[1]Калькуляция САД'!C529</f>
        <v>Чай черный</v>
      </c>
      <c r="C109" s="5">
        <f>'[1]Калькуляция САД'!G529*1.25</f>
        <v>187.5</v>
      </c>
      <c r="D109" s="5">
        <v>1.5</v>
      </c>
      <c r="E109" s="5">
        <v>1.6</v>
      </c>
      <c r="F109" s="5">
        <v>2</v>
      </c>
      <c r="G109" s="5">
        <v>29</v>
      </c>
      <c r="H109" s="4" t="s">
        <v>1</v>
      </c>
    </row>
    <row r="110" spans="1:8" ht="30" x14ac:dyDescent="0.25">
      <c r="A110" s="1" t="s">
        <v>5</v>
      </c>
      <c r="B110" s="1" t="str">
        <f>'[1]Калькуляция САД'!C531</f>
        <v>Паста с индейкой в сливочном соусе</v>
      </c>
      <c r="C110" s="7">
        <f>'[1]Калькуляция САД'!G532*1.25</f>
        <v>343.75</v>
      </c>
      <c r="D110" s="8">
        <v>29.3</v>
      </c>
      <c r="E110" s="8">
        <f>16.1</f>
        <v>16.100000000000001</v>
      </c>
      <c r="F110" s="8">
        <v>25.6</v>
      </c>
      <c r="G110" s="8">
        <v>365</v>
      </c>
      <c r="H110" s="1" t="s">
        <v>116</v>
      </c>
    </row>
    <row r="111" spans="1:8" x14ac:dyDescent="0.25">
      <c r="B111" s="1" t="str">
        <f>'[1]Калькуляция САД'!C540</f>
        <v>Овощи свежие</v>
      </c>
      <c r="C111" s="7">
        <f>'[1]Калькуляция САД'!G541*1.25</f>
        <v>106.25</v>
      </c>
      <c r="D111" s="7">
        <v>0.7</v>
      </c>
      <c r="E111" s="7">
        <v>0.1</v>
      </c>
      <c r="F111" s="7">
        <v>3.5</v>
      </c>
      <c r="G111" s="7">
        <v>17</v>
      </c>
      <c r="H111" s="6" t="s">
        <v>2</v>
      </c>
    </row>
    <row r="112" spans="1:8" x14ac:dyDescent="0.25">
      <c r="A112" s="4"/>
      <c r="B112" s="4" t="str">
        <f>'[1]Калькуляция САД'!C544</f>
        <v>Чай черный</v>
      </c>
      <c r="C112" s="5">
        <f>'[1]Калькуляция САД'!G164*1.25</f>
        <v>187.5</v>
      </c>
      <c r="D112" s="5">
        <v>0</v>
      </c>
      <c r="E112" s="5">
        <v>0</v>
      </c>
      <c r="F112" s="5">
        <v>0</v>
      </c>
      <c r="G112" s="5">
        <v>1</v>
      </c>
      <c r="H112" s="4" t="s">
        <v>1</v>
      </c>
    </row>
    <row r="113" spans="1:8" x14ac:dyDescent="0.25">
      <c r="A113" s="2" t="s">
        <v>115</v>
      </c>
      <c r="B113" s="2"/>
      <c r="C113" s="3">
        <f>SUM(C98:C112)</f>
        <v>2588.75</v>
      </c>
      <c r="D113" s="3">
        <f>SUM(D98:D112)</f>
        <v>112</v>
      </c>
      <c r="E113" s="3">
        <f>SUM(E98:E112)</f>
        <v>83.6</v>
      </c>
      <c r="F113" s="3">
        <f>SUM(F98:F112)</f>
        <v>183.79999999999998</v>
      </c>
      <c r="G113" s="3">
        <f>SUM(G98:G112)</f>
        <v>1976.5</v>
      </c>
      <c r="H113" s="2"/>
    </row>
    <row r="115" spans="1:8" ht="15.75" thickBot="1" x14ac:dyDescent="0.3">
      <c r="A115" s="19" t="s">
        <v>114</v>
      </c>
      <c r="B115" s="19"/>
      <c r="C115" s="19"/>
      <c r="D115" s="19"/>
      <c r="E115" s="19"/>
      <c r="F115" s="19"/>
      <c r="G115" s="19"/>
      <c r="H115" s="19"/>
    </row>
    <row r="116" spans="1:8" ht="15.75" thickTop="1" x14ac:dyDescent="0.25">
      <c r="A116" s="1" t="s">
        <v>26</v>
      </c>
      <c r="B116" s="1" t="str">
        <f>'[1]Калькуляция САД'!C577</f>
        <v>Омлет</v>
      </c>
      <c r="C116" s="8">
        <f>'[1]Калькуляция САД'!G578*1.25</f>
        <v>150</v>
      </c>
      <c r="D116" s="8">
        <f>5+0.6+0.1</f>
        <v>5.6999999999999993</v>
      </c>
      <c r="E116" s="8">
        <f>6+0.6+4.1</f>
        <v>10.7</v>
      </c>
      <c r="F116" s="8">
        <f>0.3+0.9+0.1</f>
        <v>1.3</v>
      </c>
      <c r="G116" s="8">
        <f>96+12+37</f>
        <v>145</v>
      </c>
      <c r="H116" s="1" t="s">
        <v>54</v>
      </c>
    </row>
    <row r="117" spans="1:8" x14ac:dyDescent="0.25">
      <c r="B117" s="1" t="str">
        <f>'[1]Калькуляция САД'!C582</f>
        <v>Сухофрукты</v>
      </c>
      <c r="C117" s="7">
        <f>'[1]Калькуляция САД'!G582*1.25</f>
        <v>12.5</v>
      </c>
      <c r="D117" s="7">
        <v>0.3</v>
      </c>
      <c r="E117" s="7">
        <v>0.1</v>
      </c>
      <c r="F117" s="7">
        <v>6.2</v>
      </c>
      <c r="G117" s="7">
        <v>24.5</v>
      </c>
      <c r="H117" s="1" t="s">
        <v>23</v>
      </c>
    </row>
    <row r="118" spans="1:8" ht="30" x14ac:dyDescent="0.25">
      <c r="B118" s="1" t="str">
        <f>'[1]Калькуляция САД'!C583</f>
        <v>Горячий бутерброд с маслом сыром</v>
      </c>
      <c r="C118" s="7">
        <f>'[1]Калькуляция САД'!G583*1.25</f>
        <v>46.875</v>
      </c>
      <c r="D118" s="8">
        <f>9.3/2</f>
        <v>4.6500000000000004</v>
      </c>
      <c r="E118" s="8">
        <v>6.3</v>
      </c>
      <c r="F118" s="8">
        <v>13.3</v>
      </c>
      <c r="G118" s="8">
        <f>255/2</f>
        <v>127.5</v>
      </c>
      <c r="H118" s="1" t="s">
        <v>21</v>
      </c>
    </row>
    <row r="119" spans="1:8" x14ac:dyDescent="0.25">
      <c r="B119" s="1" t="str">
        <f>'[1]Калькуляция САД'!C587</f>
        <v>Банан</v>
      </c>
      <c r="C119" s="7">
        <f>'[1]Калькуляция САД'!G587*1.25</f>
        <v>125</v>
      </c>
      <c r="D119" s="7">
        <v>1.6</v>
      </c>
      <c r="E119" s="7">
        <v>0.2</v>
      </c>
      <c r="F119" s="7">
        <v>23</v>
      </c>
      <c r="G119" s="7">
        <v>100</v>
      </c>
      <c r="H119" s="1" t="s">
        <v>67</v>
      </c>
    </row>
    <row r="120" spans="1:8" x14ac:dyDescent="0.25">
      <c r="B120" s="4" t="str">
        <f>'[1]Калькуляция САД'!C588</f>
        <v>Чай зеленый</v>
      </c>
      <c r="C120" s="5">
        <f>'[1]Калькуляция САД'!G588*1.25</f>
        <v>187.5</v>
      </c>
      <c r="D120" s="5">
        <v>0</v>
      </c>
      <c r="E120" s="5">
        <v>0</v>
      </c>
      <c r="F120" s="5">
        <v>0</v>
      </c>
      <c r="G120" s="5">
        <v>1</v>
      </c>
      <c r="H120" s="4" t="s">
        <v>1</v>
      </c>
    </row>
    <row r="121" spans="1:8" x14ac:dyDescent="0.25">
      <c r="A121" s="1" t="s">
        <v>18</v>
      </c>
      <c r="B121" s="1" t="str">
        <f>'[1]Калькуляция САД'!C590</f>
        <v>Салат из свеклы с яблоками</v>
      </c>
      <c r="C121" s="8">
        <f>'[1]Калькуляция САД'!G591*1.25</f>
        <v>131.25</v>
      </c>
      <c r="D121" s="8">
        <v>1</v>
      </c>
      <c r="E121" s="8">
        <v>5.3</v>
      </c>
      <c r="F121" s="8">
        <v>9.4</v>
      </c>
      <c r="G121" s="8">
        <v>90</v>
      </c>
      <c r="H121" s="1" t="s">
        <v>113</v>
      </c>
    </row>
    <row r="122" spans="1:8" x14ac:dyDescent="0.25">
      <c r="B122" s="1" t="str">
        <f>'[1]Калькуляция САД'!C595</f>
        <v>Гороховый суп</v>
      </c>
      <c r="C122" s="8">
        <f>'[1]Калькуляция САД'!G596*1.25</f>
        <v>375</v>
      </c>
      <c r="D122" s="8">
        <f>9.5+2+0.2+5</f>
        <v>16.7</v>
      </c>
      <c r="E122" s="8">
        <f>6.2+0.1+0.1+5+5</f>
        <v>16.399999999999999</v>
      </c>
      <c r="F122" s="8">
        <f>17.5+0.8+15+0.1</f>
        <v>33.4</v>
      </c>
      <c r="G122" s="8">
        <f>94+90+4+90+45</f>
        <v>323</v>
      </c>
      <c r="H122" s="1" t="s">
        <v>112</v>
      </c>
    </row>
    <row r="123" spans="1:8" x14ac:dyDescent="0.25">
      <c r="B123" s="1" t="str">
        <f>'[1]Калькуляция САД'!C605</f>
        <v>Хлеб</v>
      </c>
      <c r="C123" s="7">
        <f>'[1]Калькуляция САД'!G605*1.25</f>
        <v>25</v>
      </c>
      <c r="D123" s="7">
        <v>1.7</v>
      </c>
      <c r="E123" s="7">
        <v>1.1000000000000001</v>
      </c>
      <c r="F123" s="7">
        <v>10.6</v>
      </c>
      <c r="G123" s="7">
        <v>58</v>
      </c>
      <c r="H123" s="1" t="s">
        <v>13</v>
      </c>
    </row>
    <row r="124" spans="1:8" x14ac:dyDescent="0.25">
      <c r="B124" s="1" t="str">
        <f>'[1]Калькуляция САД'!C606</f>
        <v>Компот из вишни</v>
      </c>
      <c r="C124" s="7">
        <f>'[1]Калькуляция САД'!G607*1.25</f>
        <v>187.5</v>
      </c>
      <c r="D124" s="7">
        <v>0</v>
      </c>
      <c r="E124" s="7">
        <v>0</v>
      </c>
      <c r="F124" s="7">
        <v>8.9</v>
      </c>
      <c r="G124" s="7">
        <v>34</v>
      </c>
      <c r="H124" s="1" t="s">
        <v>77</v>
      </c>
    </row>
    <row r="125" spans="1:8" x14ac:dyDescent="0.25">
      <c r="B125" s="4" t="s">
        <v>111</v>
      </c>
      <c r="C125" s="11">
        <f>'[1]Калькуляция ШК'!G645</f>
        <v>180</v>
      </c>
      <c r="D125" s="11">
        <v>20.3</v>
      </c>
      <c r="E125" s="11">
        <v>22.4</v>
      </c>
      <c r="F125" s="11">
        <v>10.3</v>
      </c>
      <c r="G125" s="11">
        <f>187+8+50</f>
        <v>245</v>
      </c>
      <c r="H125" s="4" t="s">
        <v>47</v>
      </c>
    </row>
    <row r="126" spans="1:8" x14ac:dyDescent="0.25">
      <c r="A126" s="1" t="s">
        <v>9</v>
      </c>
      <c r="B126" s="1" t="str">
        <f>'[1]Калькуляция САД'!C611</f>
        <v>Кексы с цукинни и лимоном</v>
      </c>
      <c r="C126" s="8">
        <f>'[1]Калькуляция САД'!G612*1.25</f>
        <v>187.5</v>
      </c>
      <c r="D126" s="8">
        <f>3.5+0.4+1.9+0.1+1.3</f>
        <v>7.1999999999999993</v>
      </c>
      <c r="E126" s="8">
        <f>0.3+0.1+1.6+5+1.3</f>
        <v>8.3000000000000007</v>
      </c>
      <c r="F126" s="8">
        <f>39+1.8+0.1+0.1+23.1+1.7</f>
        <v>65.8</v>
      </c>
      <c r="G126" s="8">
        <f>173+9+24+45+89+24</f>
        <v>364</v>
      </c>
      <c r="H126" s="1" t="s">
        <v>110</v>
      </c>
    </row>
    <row r="127" spans="1:8" x14ac:dyDescent="0.25">
      <c r="B127" s="4" t="str">
        <f>'[1]Калькуляция САД'!C623</f>
        <v>Кефир</v>
      </c>
      <c r="C127" s="5">
        <f>'[1]Калькуляция САД'!G623*1.25</f>
        <v>62.5</v>
      </c>
      <c r="D127" s="5">
        <v>1.5</v>
      </c>
      <c r="E127" s="5">
        <v>1.6</v>
      </c>
      <c r="F127" s="5">
        <v>2</v>
      </c>
      <c r="G127" s="5">
        <v>29</v>
      </c>
      <c r="H127" s="4" t="s">
        <v>73</v>
      </c>
    </row>
    <row r="128" spans="1:8" x14ac:dyDescent="0.25">
      <c r="A128" s="1" t="s">
        <v>5</v>
      </c>
      <c r="B128" s="1" t="str">
        <f>'[1]Калькуляция ШК'!C625</f>
        <v>Рагу с цыпенком и чечевицей</v>
      </c>
      <c r="C128" s="7">
        <f>'[1]Калькуляция САД'!G626*1.25</f>
        <v>375</v>
      </c>
      <c r="D128" s="8">
        <f>6+21.3+0.1+1.3</f>
        <v>28.700000000000003</v>
      </c>
      <c r="E128" s="8">
        <f>1+5.3+10+5</f>
        <v>21.3</v>
      </c>
      <c r="F128" s="8">
        <f>35.9+0.1+1+2</f>
        <v>39</v>
      </c>
      <c r="G128" s="8">
        <f>175+135+4+103+50</f>
        <v>467</v>
      </c>
      <c r="H128" s="1" t="s">
        <v>109</v>
      </c>
    </row>
    <row r="129" spans="1:8" x14ac:dyDescent="0.25">
      <c r="B129" s="1" t="str">
        <f>'[1]Калькуляция САД'!C634</f>
        <v>Овощи свежие</v>
      </c>
      <c r="C129" s="7">
        <f>'[1]Калькуляция САД'!G635*1.25</f>
        <v>106.25</v>
      </c>
      <c r="D129" s="7">
        <v>0.7</v>
      </c>
      <c r="E129" s="7">
        <v>0.1</v>
      </c>
      <c r="F129" s="7">
        <v>3.5</v>
      </c>
      <c r="G129" s="7">
        <v>17</v>
      </c>
      <c r="H129" s="6" t="s">
        <v>2</v>
      </c>
    </row>
    <row r="130" spans="1:8" x14ac:dyDescent="0.25">
      <c r="A130" s="4"/>
      <c r="B130" s="4" t="str">
        <f>'[1]Калькуляция САД'!C638</f>
        <v>Чай зеленый</v>
      </c>
      <c r="C130" s="5">
        <f>'[1]Калькуляция САД'!G638*1.25</f>
        <v>187.5</v>
      </c>
      <c r="D130" s="5">
        <v>0</v>
      </c>
      <c r="E130" s="5">
        <v>0</v>
      </c>
      <c r="F130" s="5">
        <v>0</v>
      </c>
      <c r="G130" s="5">
        <v>1</v>
      </c>
      <c r="H130" s="4" t="s">
        <v>1</v>
      </c>
    </row>
    <row r="131" spans="1:8" x14ac:dyDescent="0.25">
      <c r="A131" s="2" t="s">
        <v>108</v>
      </c>
      <c r="B131" s="2"/>
      <c r="C131" s="3">
        <f>SUM(C116:C130)</f>
        <v>2339.375</v>
      </c>
      <c r="D131" s="3">
        <f>SUM(D116:D130)</f>
        <v>90.05</v>
      </c>
      <c r="E131" s="3">
        <f>SUM(E116:E130)</f>
        <v>93.799999999999983</v>
      </c>
      <c r="F131" s="3">
        <f>SUM(F116:F130)</f>
        <v>226.7</v>
      </c>
      <c r="G131" s="3">
        <f>SUM(G116:G130)</f>
        <v>2026</v>
      </c>
      <c r="H131" s="2"/>
    </row>
    <row r="133" spans="1:8" ht="15.75" thickBot="1" x14ac:dyDescent="0.3">
      <c r="A133" s="19" t="s">
        <v>107</v>
      </c>
      <c r="B133" s="19"/>
      <c r="C133" s="19"/>
      <c r="D133" s="19"/>
      <c r="E133" s="19"/>
      <c r="F133" s="19"/>
      <c r="G133" s="19"/>
      <c r="H133" s="19"/>
    </row>
    <row r="134" spans="1:8" ht="15.75" thickTop="1" x14ac:dyDescent="0.25">
      <c r="A134" s="1" t="s">
        <v>26</v>
      </c>
      <c r="B134" s="1" t="s">
        <v>99</v>
      </c>
      <c r="C134" s="8">
        <f>'[1]Калькуляция САД'!G673*1.25</f>
        <v>187.5</v>
      </c>
      <c r="D134" s="10">
        <f>9.8+1.2</f>
        <v>11</v>
      </c>
      <c r="E134" s="10">
        <f>12+0.2</f>
        <v>12.2</v>
      </c>
      <c r="F134" s="10">
        <f>12.7+7.2</f>
        <v>19.899999999999999</v>
      </c>
      <c r="G134" s="10">
        <f>191+35</f>
        <v>226</v>
      </c>
      <c r="H134" s="1" t="s">
        <v>69</v>
      </c>
    </row>
    <row r="135" spans="1:8" x14ac:dyDescent="0.25">
      <c r="B135" s="1" t="str">
        <f>'[1]Калькуляция САД'!C678</f>
        <v>Сухофрукты</v>
      </c>
      <c r="C135" s="7">
        <f>'[1]Калькуляция САД'!G678*1.25</f>
        <v>12.5</v>
      </c>
      <c r="D135" s="7">
        <v>0.3</v>
      </c>
      <c r="E135" s="7">
        <v>0.1</v>
      </c>
      <c r="F135" s="7">
        <v>6.2</v>
      </c>
      <c r="G135" s="7">
        <v>24.5</v>
      </c>
      <c r="H135" s="1" t="s">
        <v>23</v>
      </c>
    </row>
    <row r="136" spans="1:8" x14ac:dyDescent="0.25">
      <c r="B136" s="1" t="str">
        <f>'[1]Калькуляция САД'!C679</f>
        <v>Мандарин</v>
      </c>
      <c r="C136" s="7">
        <f>'[1]Калькуляция САД'!G679*1.25</f>
        <v>87.5</v>
      </c>
      <c r="D136" s="7">
        <v>0.6</v>
      </c>
      <c r="E136" s="7">
        <v>0.2</v>
      </c>
      <c r="F136" s="7">
        <v>10.1</v>
      </c>
      <c r="G136" s="7">
        <v>40</v>
      </c>
      <c r="H136" s="1" t="s">
        <v>53</v>
      </c>
    </row>
    <row r="137" spans="1:8" x14ac:dyDescent="0.25">
      <c r="B137" s="4" t="str">
        <f>'[1]Калькуляция САД'!C680</f>
        <v>Чай черный</v>
      </c>
      <c r="C137" s="5">
        <f>'[1]Калькуляция САД'!G680*1.25</f>
        <v>187.5</v>
      </c>
      <c r="D137" s="5">
        <v>0</v>
      </c>
      <c r="E137" s="5">
        <v>0</v>
      </c>
      <c r="F137" s="5">
        <v>0</v>
      </c>
      <c r="G137" s="5">
        <v>1</v>
      </c>
      <c r="H137" s="4" t="s">
        <v>1</v>
      </c>
    </row>
    <row r="138" spans="1:8" ht="30" x14ac:dyDescent="0.25">
      <c r="A138" s="1" t="s">
        <v>18</v>
      </c>
      <c r="B138" s="1" t="str">
        <f>'[1]Калькуляция САД'!C682</f>
        <v>Салат из капусты с болгарским перцем</v>
      </c>
      <c r="C138" s="8">
        <f>'[1]Калькуляция САД'!G683*1.25</f>
        <v>93.75</v>
      </c>
      <c r="D138" s="8">
        <f>0.8</f>
        <v>0.8</v>
      </c>
      <c r="E138" s="8">
        <v>5</v>
      </c>
      <c r="F138" s="8">
        <v>3</v>
      </c>
      <c r="G138" s="8">
        <f>60</f>
        <v>60</v>
      </c>
      <c r="H138" s="1" t="s">
        <v>106</v>
      </c>
    </row>
    <row r="139" spans="1:8" x14ac:dyDescent="0.25">
      <c r="B139" s="1" t="str">
        <f>'[1]Калькуляция САД'!C688</f>
        <v>Борщ</v>
      </c>
      <c r="C139" s="8">
        <f>'[1]Калькуляция САД'!G689*1.25</f>
        <v>400</v>
      </c>
      <c r="D139" s="8">
        <f>1+0.7+0.6+0.2+0.2+0.2+0.6+9.5+0.1</f>
        <v>13.1</v>
      </c>
      <c r="E139" s="8">
        <f>0.2+0.1+5+4+6.2+0.1</f>
        <v>15.6</v>
      </c>
      <c r="F139" s="8">
        <f>8.5+3.9+2.6+0.8+1.2+0.8+0.6</f>
        <v>18.400000000000002</v>
      </c>
      <c r="G139" s="8">
        <f>40+18+11+4+5+4+38+40+94+4</f>
        <v>258</v>
      </c>
      <c r="H139" s="1" t="s">
        <v>51</v>
      </c>
    </row>
    <row r="140" spans="1:8" x14ac:dyDescent="0.25">
      <c r="B140" s="1" t="str">
        <f>'[1]Калькуляция САД'!C702</f>
        <v>Хлеб</v>
      </c>
      <c r="C140" s="7">
        <f>'[1]Калькуляция САД'!G702*1.25</f>
        <v>50</v>
      </c>
      <c r="D140" s="7">
        <v>3.4</v>
      </c>
      <c r="E140" s="7">
        <v>2.2000000000000002</v>
      </c>
      <c r="F140" s="7">
        <v>21.2</v>
      </c>
      <c r="G140" s="7">
        <v>116</v>
      </c>
      <c r="H140" s="1" t="s">
        <v>13</v>
      </c>
    </row>
    <row r="141" spans="1:8" x14ac:dyDescent="0.25">
      <c r="B141" s="1" t="str">
        <f>'[1]Калькуляция САД'!C703</f>
        <v>Компот из яблок и груш</v>
      </c>
      <c r="C141" s="7">
        <f>'[1]Калькуляция САД'!G704*1.25</f>
        <v>187.5</v>
      </c>
      <c r="D141" s="7">
        <f>0.2</f>
        <v>0.2</v>
      </c>
      <c r="E141" s="7">
        <v>0.2</v>
      </c>
      <c r="F141" s="7">
        <f>10.5+2.1+2</f>
        <v>14.6</v>
      </c>
      <c r="G141" s="7">
        <f>41+11+9</f>
        <v>61</v>
      </c>
      <c r="H141" s="1" t="s">
        <v>12</v>
      </c>
    </row>
    <row r="142" spans="1:8" x14ac:dyDescent="0.25">
      <c r="B142" s="4" t="s">
        <v>105</v>
      </c>
      <c r="C142" s="11">
        <f>'[1]Калькуляция ШК'!G743</f>
        <v>130</v>
      </c>
      <c r="D142" s="11">
        <f>18.9+0.85+0.1+0.1+1.7</f>
        <v>21.650000000000002</v>
      </c>
      <c r="E142" s="11">
        <f>12.4+0.55+1+1.1+5</f>
        <v>20.05</v>
      </c>
      <c r="F142" s="11">
        <f>5.3+1+0.1+10.6+0.1</f>
        <v>17.100000000000001</v>
      </c>
      <c r="G142" s="11">
        <f>187+29+4+10+58+45</f>
        <v>333</v>
      </c>
      <c r="H142" s="4" t="s">
        <v>32</v>
      </c>
    </row>
    <row r="143" spans="1:8" ht="30" x14ac:dyDescent="0.25">
      <c r="A143" s="1" t="s">
        <v>9</v>
      </c>
      <c r="B143" s="1" t="str">
        <f>'[1]Калькуляция САД'!C709</f>
        <v>Бельгийские вафли с домашним вареньем</v>
      </c>
      <c r="C143" s="8">
        <f>'[1]Калькуляция САД'!G710*1.25</f>
        <v>218.75</v>
      </c>
      <c r="D143" s="8">
        <f>1.6+0.7+3+0.2+0.9</f>
        <v>6.4</v>
      </c>
      <c r="E143" s="8">
        <f>1.4+5+0.5+0.1+2+3</f>
        <v>12</v>
      </c>
      <c r="F143" s="8">
        <f>16+0.7+15.5+2.3+18.9+6.1</f>
        <v>59.5</v>
      </c>
      <c r="G143" s="8">
        <f>20+62+51+78+12+73+20+54</f>
        <v>370</v>
      </c>
      <c r="H143" s="1" t="s">
        <v>104</v>
      </c>
    </row>
    <row r="144" spans="1:8" x14ac:dyDescent="0.25">
      <c r="B144" s="4" t="str">
        <f>'[1]Калькуляция САД'!C721</f>
        <v>Чай черный</v>
      </c>
      <c r="C144" s="5">
        <f>'[1]Калькуляция САД'!G721*1.25</f>
        <v>187.5</v>
      </c>
      <c r="D144" s="5">
        <v>0</v>
      </c>
      <c r="E144" s="5">
        <v>0</v>
      </c>
      <c r="F144" s="5">
        <v>0</v>
      </c>
      <c r="G144" s="5">
        <v>1</v>
      </c>
      <c r="H144" s="4" t="s">
        <v>1</v>
      </c>
    </row>
    <row r="145" spans="1:8" ht="30" x14ac:dyDescent="0.25">
      <c r="A145" s="1" t="s">
        <v>5</v>
      </c>
      <c r="B145" s="1" t="str">
        <f>'[1]Калькуляция САД'!C723</f>
        <v>Тефтели из фермерского цыпленка с гречкой</v>
      </c>
      <c r="C145" s="7">
        <f>'[1]Калькуляция САД'!G724*1.25</f>
        <v>343.75</v>
      </c>
      <c r="D145" s="10">
        <f>14.2+0.1+2+6+0.2</f>
        <v>22.499999999999996</v>
      </c>
      <c r="E145" s="10">
        <f>9.3+10+1.3+1.7</f>
        <v>22.3</v>
      </c>
      <c r="F145" s="10">
        <f>1+0.1+12.7+36+0.8</f>
        <v>50.599999999999994</v>
      </c>
      <c r="G145" s="10">
        <f>140+4+90+69.6+168+4</f>
        <v>475.6</v>
      </c>
      <c r="H145" s="1" t="s">
        <v>103</v>
      </c>
    </row>
    <row r="146" spans="1:8" x14ac:dyDescent="0.25">
      <c r="B146" s="1" t="str">
        <f>'[1]Калькуляция САД'!C732</f>
        <v>Овощи свежие</v>
      </c>
      <c r="C146" s="7">
        <f>'[1]Калькуляция САД'!G733*1.25</f>
        <v>106.25</v>
      </c>
      <c r="D146" s="7">
        <v>0.7</v>
      </c>
      <c r="E146" s="7">
        <v>0.1</v>
      </c>
      <c r="F146" s="7">
        <v>3.5</v>
      </c>
      <c r="G146" s="7">
        <v>17</v>
      </c>
      <c r="H146" s="6" t="s">
        <v>58</v>
      </c>
    </row>
    <row r="147" spans="1:8" x14ac:dyDescent="0.25">
      <c r="A147" s="4"/>
      <c r="B147" s="4"/>
      <c r="C147" s="5"/>
      <c r="D147" s="5"/>
      <c r="E147" s="5"/>
      <c r="F147" s="5"/>
      <c r="G147" s="5"/>
      <c r="H147" s="4"/>
    </row>
    <row r="148" spans="1:8" x14ac:dyDescent="0.25">
      <c r="A148" s="2" t="s">
        <v>102</v>
      </c>
      <c r="B148" s="2"/>
      <c r="C148" s="3">
        <f>SUM(C134:C147)</f>
        <v>2192.5</v>
      </c>
      <c r="D148" s="3">
        <f>SUM(D134:D147)</f>
        <v>80.649999999999991</v>
      </c>
      <c r="E148" s="3">
        <f>SUM(E134:E147)</f>
        <v>89.95</v>
      </c>
      <c r="F148" s="3">
        <f>SUM(F134:F147)</f>
        <v>224.1</v>
      </c>
      <c r="G148" s="3">
        <f>SUM(G134:G147)</f>
        <v>1983.1</v>
      </c>
      <c r="H148" s="2"/>
    </row>
    <row r="150" spans="1:8" ht="15.75" thickBot="1" x14ac:dyDescent="0.3">
      <c r="A150" s="19" t="s">
        <v>101</v>
      </c>
      <c r="B150" s="19"/>
      <c r="C150" s="19"/>
      <c r="D150" s="19"/>
      <c r="E150" s="19"/>
      <c r="F150" s="19"/>
      <c r="G150" s="19"/>
      <c r="H150" s="19"/>
    </row>
    <row r="151" spans="1:8" ht="15.75" thickTop="1" x14ac:dyDescent="0.25">
      <c r="A151" s="1" t="s">
        <v>26</v>
      </c>
      <c r="B151" s="1" t="str">
        <f>'[1]Калькуляция САД'!C767</f>
        <v>Омлет</v>
      </c>
      <c r="C151" s="8">
        <f>'[1]Калькуляция САД'!G768*1.25</f>
        <v>150</v>
      </c>
      <c r="D151" s="8">
        <f>5+0.6+0.1</f>
        <v>5.6999999999999993</v>
      </c>
      <c r="E151" s="8">
        <f>6+0.6+4.1</f>
        <v>10.7</v>
      </c>
      <c r="F151" s="8">
        <f>0.3+0.9+0.1</f>
        <v>1.3</v>
      </c>
      <c r="G151" s="8">
        <f>96+12+37</f>
        <v>145</v>
      </c>
      <c r="H151" s="1" t="s">
        <v>54</v>
      </c>
    </row>
    <row r="152" spans="1:8" x14ac:dyDescent="0.25">
      <c r="B152" s="1" t="str">
        <f>'[1]Калькуляция САД'!C772</f>
        <v>Сухофрукты</v>
      </c>
      <c r="C152" s="7">
        <f>'[1]Калькуляция САД'!G772*1.25</f>
        <v>12.5</v>
      </c>
      <c r="D152" s="7">
        <v>0.3</v>
      </c>
      <c r="E152" s="7">
        <v>0.1</v>
      </c>
      <c r="F152" s="7">
        <v>6.2</v>
      </c>
      <c r="G152" s="7">
        <v>24.5</v>
      </c>
      <c r="H152" s="1" t="s">
        <v>23</v>
      </c>
    </row>
    <row r="153" spans="1:8" ht="30" x14ac:dyDescent="0.25">
      <c r="B153" s="1" t="str">
        <f>'[1]Калькуляция САД'!C773</f>
        <v>Горячий бутерброд с маслом сыром</v>
      </c>
      <c r="C153" s="7">
        <f>'[1]Калькуляция САД'!G773*1.25</f>
        <v>46.875</v>
      </c>
      <c r="D153" s="8">
        <f>9.3/2</f>
        <v>4.6500000000000004</v>
      </c>
      <c r="E153" s="8">
        <v>6.3</v>
      </c>
      <c r="F153" s="8">
        <v>13.3</v>
      </c>
      <c r="G153" s="8">
        <f>255/2</f>
        <v>127.5</v>
      </c>
      <c r="H153" s="1" t="s">
        <v>21</v>
      </c>
    </row>
    <row r="154" spans="1:8" x14ac:dyDescent="0.25">
      <c r="B154" s="1" t="str">
        <f>'[1]Калькуляция САД'!C777</f>
        <v>Яблоко</v>
      </c>
      <c r="C154" s="7">
        <f>'[1]Калькуляция САД'!G777*1.25</f>
        <v>125</v>
      </c>
      <c r="D154" s="7">
        <v>0.4</v>
      </c>
      <c r="E154" s="7">
        <v>0.4</v>
      </c>
      <c r="F154" s="7">
        <v>9.8000000000000007</v>
      </c>
      <c r="G154" s="7">
        <v>47</v>
      </c>
      <c r="H154" s="1" t="s">
        <v>19</v>
      </c>
    </row>
    <row r="155" spans="1:8" x14ac:dyDescent="0.25">
      <c r="B155" s="4" t="str">
        <f>'[1]Калькуляция САД'!C778</f>
        <v>Чай зеленый</v>
      </c>
      <c r="C155" s="5">
        <f>'[1]Калькуляция САД'!G778*1.25</f>
        <v>187.5</v>
      </c>
      <c r="D155" s="5">
        <v>0</v>
      </c>
      <c r="E155" s="5">
        <v>0</v>
      </c>
      <c r="F155" s="5">
        <v>0</v>
      </c>
      <c r="G155" s="5">
        <v>1</v>
      </c>
      <c r="H155" s="4" t="s">
        <v>1</v>
      </c>
    </row>
    <row r="156" spans="1:8" x14ac:dyDescent="0.25">
      <c r="A156" s="1" t="s">
        <v>18</v>
      </c>
      <c r="B156" s="13" t="s">
        <v>17</v>
      </c>
      <c r="C156" s="8">
        <v>150</v>
      </c>
      <c r="D156" s="8">
        <v>0.9</v>
      </c>
      <c r="E156" s="8">
        <v>4.0999999999999996</v>
      </c>
      <c r="F156" s="8">
        <v>5.3</v>
      </c>
      <c r="G156" s="8">
        <v>67.5</v>
      </c>
      <c r="H156" s="1" t="s">
        <v>16</v>
      </c>
    </row>
    <row r="157" spans="1:8" x14ac:dyDescent="0.25">
      <c r="B157" s="1" t="str">
        <f>'[1]Калькуляция САД'!C787</f>
        <v>Щи из квашеной капусты</v>
      </c>
      <c r="C157" s="8">
        <f>'[1]Калькуляция САД'!G788*1.25</f>
        <v>375</v>
      </c>
      <c r="D157" s="8">
        <f>9.5+3+0.5+0.2+0.1+0.2</f>
        <v>13.499999999999998</v>
      </c>
      <c r="E157" s="8">
        <f>6.2+0.5+5</f>
        <v>11.7</v>
      </c>
      <c r="F157" s="8">
        <f>25.5+0.7+1.1+1+1.3</f>
        <v>29.6</v>
      </c>
      <c r="G157" s="8">
        <f>94+120+5+5+4+6+45</f>
        <v>279</v>
      </c>
      <c r="H157" s="1" t="s">
        <v>14</v>
      </c>
    </row>
    <row r="158" spans="1:8" x14ac:dyDescent="0.25">
      <c r="B158" s="1" t="str">
        <f>'[1]Калькуляция САД'!C798</f>
        <v>Гренки</v>
      </c>
      <c r="C158" s="7">
        <f>'[1]Калькуляция САД'!G798*1.25</f>
        <v>25</v>
      </c>
      <c r="D158" s="7">
        <v>1.7</v>
      </c>
      <c r="E158" s="7">
        <v>1.1000000000000001</v>
      </c>
      <c r="F158" s="7">
        <v>10.6</v>
      </c>
      <c r="G158" s="7">
        <v>58</v>
      </c>
      <c r="H158" s="1" t="s">
        <v>64</v>
      </c>
    </row>
    <row r="159" spans="1:8" x14ac:dyDescent="0.25">
      <c r="B159" s="1" t="str">
        <f>'[1]Калькуляция САД'!C799</f>
        <v>Кисель клюквенный</v>
      </c>
      <c r="C159" s="7">
        <f>'[1]Калькуляция САД'!G800*1.25</f>
        <v>225</v>
      </c>
      <c r="D159" s="7">
        <f>0.3</f>
        <v>0.3</v>
      </c>
      <c r="E159" s="7">
        <v>0</v>
      </c>
      <c r="F159" s="7">
        <f>2.2+16+6.8</f>
        <v>25</v>
      </c>
      <c r="G159" s="7">
        <f>11+60+27</f>
        <v>98</v>
      </c>
      <c r="H159" s="15" t="s">
        <v>100</v>
      </c>
    </row>
    <row r="160" spans="1:8" x14ac:dyDescent="0.25">
      <c r="B160" s="4" t="s">
        <v>99</v>
      </c>
      <c r="C160" s="11">
        <f>'[1]Калькуляция ШК'!G840</f>
        <v>135</v>
      </c>
      <c r="D160" s="11">
        <f>6.1+3.8</f>
        <v>9.8999999999999986</v>
      </c>
      <c r="E160" s="11">
        <f>9.2</f>
        <v>9.1999999999999993</v>
      </c>
      <c r="F160" s="11">
        <f>35.9+0.1</f>
        <v>36</v>
      </c>
      <c r="G160" s="11">
        <f>175+37+53</f>
        <v>265</v>
      </c>
      <c r="H160" s="4" t="s">
        <v>98</v>
      </c>
    </row>
    <row r="161" spans="1:8" x14ac:dyDescent="0.25">
      <c r="A161" s="1" t="s">
        <v>9</v>
      </c>
      <c r="B161" s="1" t="str">
        <f>'[1]Калькуляция САД'!C805</f>
        <v>Блинчики с джемом</v>
      </c>
      <c r="C161" s="8">
        <f>'[1]Калькуляция САД'!G806*1.25</f>
        <v>250</v>
      </c>
      <c r="D161" s="8">
        <f>4.6+2.8+1.9</f>
        <v>9.2999999999999989</v>
      </c>
      <c r="E161" s="8">
        <f>0.9+3.2+5+1.6</f>
        <v>10.700000000000001</v>
      </c>
      <c r="F161" s="8">
        <f>24.6+10.5+4.7+0.1+0.1+20.4</f>
        <v>60.400000000000006</v>
      </c>
      <c r="G161" s="8">
        <f>125+41+58+45+24+82</f>
        <v>375</v>
      </c>
      <c r="H161" s="1" t="s">
        <v>97</v>
      </c>
    </row>
    <row r="162" spans="1:8" x14ac:dyDescent="0.25">
      <c r="B162" s="4" t="str">
        <f>'[1]Калькуляция САД'!C814</f>
        <v>Чай зеленый с лимоном</v>
      </c>
      <c r="C162" s="5">
        <f>'[1]Калькуляция САД'!G814*1.25</f>
        <v>187.5</v>
      </c>
      <c r="D162" s="5">
        <v>0</v>
      </c>
      <c r="E162" s="5">
        <v>0</v>
      </c>
      <c r="F162" s="5">
        <v>0.5</v>
      </c>
      <c r="G162" s="5">
        <v>3</v>
      </c>
      <c r="H162" s="9" t="s">
        <v>6</v>
      </c>
    </row>
    <row r="163" spans="1:8" x14ac:dyDescent="0.25">
      <c r="A163" s="1" t="s">
        <v>5</v>
      </c>
      <c r="B163" s="1" t="s">
        <v>96</v>
      </c>
      <c r="C163" s="7">
        <f>'[1]Калькуляция САД'!G819*1.25</f>
        <v>343.75</v>
      </c>
      <c r="D163" s="12">
        <v>20.399999999999999</v>
      </c>
      <c r="E163" s="12">
        <v>28.14</v>
      </c>
      <c r="F163" s="12">
        <v>32.9</v>
      </c>
      <c r="G163" s="12">
        <v>466.56</v>
      </c>
      <c r="H163" s="1" t="s">
        <v>95</v>
      </c>
    </row>
    <row r="164" spans="1:8" x14ac:dyDescent="0.25">
      <c r="B164" s="1" t="str">
        <f>'[1]Калькуляция САД'!C829</f>
        <v>Овощи свежие</v>
      </c>
      <c r="C164" s="7">
        <f>'[1]Калькуляция САД'!G830*1.25</f>
        <v>106.25</v>
      </c>
      <c r="D164" s="7">
        <v>0.7</v>
      </c>
      <c r="E164" s="7">
        <v>0.1</v>
      </c>
      <c r="F164" s="7">
        <v>3.5</v>
      </c>
      <c r="G164" s="7">
        <v>17</v>
      </c>
      <c r="H164" s="6" t="s">
        <v>2</v>
      </c>
    </row>
    <row r="165" spans="1:8" x14ac:dyDescent="0.25">
      <c r="A165" s="4"/>
      <c r="B165" s="4" t="str">
        <f>'[1]Калькуляция САД'!C833</f>
        <v>Чай зеленый</v>
      </c>
      <c r="C165" s="5">
        <f>'[1]Калькуляция САД'!G833*1.25</f>
        <v>187.5</v>
      </c>
      <c r="D165" s="5">
        <v>0</v>
      </c>
      <c r="E165" s="5">
        <v>0</v>
      </c>
      <c r="F165" s="5">
        <v>0</v>
      </c>
      <c r="G165" s="5">
        <v>1</v>
      </c>
      <c r="H165" s="4" t="s">
        <v>1</v>
      </c>
    </row>
    <row r="166" spans="1:8" x14ac:dyDescent="0.25">
      <c r="A166" s="2" t="s">
        <v>94</v>
      </c>
      <c r="B166" s="2"/>
      <c r="C166" s="3">
        <f>SUM(C151:C165)</f>
        <v>2506.875</v>
      </c>
      <c r="D166" s="3">
        <f>SUM(D151:D165)</f>
        <v>67.749999999999986</v>
      </c>
      <c r="E166" s="3">
        <f>SUM(E151:E165)</f>
        <v>82.539999999999992</v>
      </c>
      <c r="F166" s="3">
        <f>SUM(F151:F165)</f>
        <v>234.4</v>
      </c>
      <c r="G166" s="3">
        <f>SUM(G151:G165)</f>
        <v>1975.06</v>
      </c>
      <c r="H166" s="2"/>
    </row>
    <row r="168" spans="1:8" ht="15.75" thickBot="1" x14ac:dyDescent="0.3">
      <c r="A168" s="19" t="s">
        <v>93</v>
      </c>
      <c r="B168" s="19"/>
      <c r="C168" s="19"/>
      <c r="D168" s="19"/>
      <c r="E168" s="19"/>
      <c r="F168" s="19"/>
      <c r="G168" s="19"/>
      <c r="H168" s="19"/>
    </row>
    <row r="169" spans="1:8" ht="15.75" thickTop="1" x14ac:dyDescent="0.25">
      <c r="A169" s="1" t="s">
        <v>26</v>
      </c>
      <c r="B169" s="1" t="str">
        <f>'[1]Калькуляция САД'!C862</f>
        <v>Каша овсяная</v>
      </c>
      <c r="C169" s="8">
        <f>'[1]Калькуляция САД'!G863*1.25</f>
        <v>250</v>
      </c>
      <c r="D169" s="8">
        <f>4.1+2.2+0.1+1.2-0.8</f>
        <v>6.8</v>
      </c>
      <c r="E169" s="8">
        <f>1.8+2.6+4.1+0.3</f>
        <v>8.8000000000000007</v>
      </c>
      <c r="F169" s="8">
        <f>20.7+5+3.8+0.1+28.5-10.9</f>
        <v>47.2</v>
      </c>
      <c r="G169" s="8">
        <f>115+20+37+109</f>
        <v>281</v>
      </c>
      <c r="H169" s="1" t="s">
        <v>92</v>
      </c>
    </row>
    <row r="170" spans="1:8" x14ac:dyDescent="0.25">
      <c r="B170" s="1" t="str">
        <f>'[1]Калькуляция САД'!C869</f>
        <v>Сухофрукты</v>
      </c>
      <c r="C170" s="7">
        <f>'[1]Калькуляция САД'!G869*1.25</f>
        <v>12.5</v>
      </c>
      <c r="D170" s="7">
        <v>0.3</v>
      </c>
      <c r="E170" s="7">
        <v>0.1</v>
      </c>
      <c r="F170" s="7">
        <v>6.2</v>
      </c>
      <c r="G170" s="7">
        <v>24.5</v>
      </c>
      <c r="H170" s="1" t="s">
        <v>23</v>
      </c>
    </row>
    <row r="171" spans="1:8" ht="30" x14ac:dyDescent="0.25">
      <c r="B171" s="1" t="str">
        <f>'[1]Калькуляция САД'!C870</f>
        <v>Горячий бутерброд с маслом сыром</v>
      </c>
      <c r="C171" s="7">
        <f>'[1]Калькуляция САД'!G870*1.25</f>
        <v>93.75</v>
      </c>
      <c r="D171" s="8">
        <v>9.3000000000000007</v>
      </c>
      <c r="E171" s="8">
        <v>12.6</v>
      </c>
      <c r="F171" s="8">
        <v>26.6</v>
      </c>
      <c r="G171" s="8">
        <v>255</v>
      </c>
      <c r="H171" s="1" t="s">
        <v>21</v>
      </c>
    </row>
    <row r="172" spans="1:8" x14ac:dyDescent="0.25">
      <c r="B172" s="1" t="str">
        <f>'[1]Калькуляция САД'!C874</f>
        <v>Груша</v>
      </c>
      <c r="C172" s="7">
        <f>'[1]Калькуляция САД'!G874*1.25</f>
        <v>125</v>
      </c>
      <c r="D172" s="7">
        <v>0.9</v>
      </c>
      <c r="E172" s="7">
        <v>1.9</v>
      </c>
      <c r="F172" s="7">
        <v>12.4</v>
      </c>
      <c r="G172" s="7">
        <v>54</v>
      </c>
      <c r="H172" s="1" t="s">
        <v>39</v>
      </c>
    </row>
    <row r="173" spans="1:8" x14ac:dyDescent="0.25">
      <c r="B173" s="4" t="str">
        <f>'[1]Калькуляция САД'!C875</f>
        <v>Чай черный</v>
      </c>
      <c r="C173" s="5">
        <f>'[1]Калькуляция САД'!G875*1.25</f>
        <v>187.5</v>
      </c>
      <c r="D173" s="5">
        <v>0</v>
      </c>
      <c r="E173" s="5">
        <v>0</v>
      </c>
      <c r="F173" s="5">
        <v>0</v>
      </c>
      <c r="G173" s="5">
        <v>1</v>
      </c>
      <c r="H173" s="4" t="s">
        <v>1</v>
      </c>
    </row>
    <row r="174" spans="1:8" x14ac:dyDescent="0.25">
      <c r="A174" s="1" t="s">
        <v>18</v>
      </c>
      <c r="B174" s="1" t="str">
        <f>'[1]Калькуляция САД'!C877</f>
        <v>Салат любимый</v>
      </c>
      <c r="C174" s="8">
        <f>'[1]Калькуляция САД'!G878*1.25</f>
        <v>150</v>
      </c>
      <c r="D174" s="8">
        <v>0.7</v>
      </c>
      <c r="E174" s="8">
        <v>3.3</v>
      </c>
      <c r="F174" s="8">
        <v>4.2</v>
      </c>
      <c r="G174" s="8">
        <v>54</v>
      </c>
      <c r="H174" s="1" t="s">
        <v>16</v>
      </c>
    </row>
    <row r="175" spans="1:8" x14ac:dyDescent="0.25">
      <c r="B175" s="1" t="s">
        <v>91</v>
      </c>
      <c r="C175" s="8">
        <f>'[1]Калькуляция САД'!G885*1.25</f>
        <v>375</v>
      </c>
      <c r="D175" s="8">
        <v>13.8</v>
      </c>
      <c r="E175" s="8">
        <v>7</v>
      </c>
      <c r="F175" s="8">
        <v>18.600000000000001</v>
      </c>
      <c r="G175" s="8">
        <v>193</v>
      </c>
      <c r="H175" s="1" t="s">
        <v>90</v>
      </c>
    </row>
    <row r="176" spans="1:8" x14ac:dyDescent="0.25">
      <c r="B176" s="1" t="str">
        <f>'[1]Калькуляция САД'!C895</f>
        <v>Хлеб</v>
      </c>
      <c r="C176" s="8">
        <f>'[1]Калькуляция САД'!G895*1.25</f>
        <v>50</v>
      </c>
      <c r="D176" s="7">
        <v>3.4</v>
      </c>
      <c r="E176" s="7">
        <v>2.2000000000000002</v>
      </c>
      <c r="F176" s="7">
        <v>21.2</v>
      </c>
      <c r="G176" s="7">
        <v>116</v>
      </c>
      <c r="H176" s="1" t="s">
        <v>13</v>
      </c>
    </row>
    <row r="177" spans="1:8" x14ac:dyDescent="0.25">
      <c r="B177" s="1" t="str">
        <f>'[1]Калькуляция САД'!C896</f>
        <v>Компот из ягод</v>
      </c>
      <c r="C177" s="7">
        <f>'[1]Калькуляция САД'!G897*1.25</f>
        <v>187.5</v>
      </c>
      <c r="D177" s="7">
        <v>0.1</v>
      </c>
      <c r="E177" s="7">
        <v>0.1</v>
      </c>
      <c r="F177" s="7">
        <v>11.7</v>
      </c>
      <c r="G177" s="7">
        <v>48</v>
      </c>
      <c r="H177" s="1" t="s">
        <v>34</v>
      </c>
    </row>
    <row r="178" spans="1:8" x14ac:dyDescent="0.25">
      <c r="B178" s="4" t="s">
        <v>89</v>
      </c>
      <c r="C178" s="11">
        <f>'[1]Калькуляция ШК'!G944</f>
        <v>120</v>
      </c>
      <c r="D178" s="11">
        <f>21.3+3.8+2.52</f>
        <v>27.62</v>
      </c>
      <c r="E178" s="11">
        <f>5.3+3.3+5+1.68</f>
        <v>15.28</v>
      </c>
      <c r="F178" s="11">
        <f>0.1+0.2+0.1+16</f>
        <v>16.399999999999999</v>
      </c>
      <c r="G178" s="11">
        <f>135+47+45+87</f>
        <v>314</v>
      </c>
      <c r="H178" s="4" t="s">
        <v>88</v>
      </c>
    </row>
    <row r="179" spans="1:8" x14ac:dyDescent="0.25">
      <c r="A179" s="1" t="s">
        <v>9</v>
      </c>
      <c r="B179" s="1" t="s">
        <v>87</v>
      </c>
      <c r="C179" s="8">
        <f>'[1]Калькуляция САД'!G902*1.25</f>
        <v>87.5</v>
      </c>
      <c r="D179" s="8">
        <f>10.7/2</f>
        <v>5.35</v>
      </c>
      <c r="E179" s="8">
        <v>2.5</v>
      </c>
      <c r="F179" s="8">
        <f>17.5/2</f>
        <v>8.75</v>
      </c>
      <c r="G179" s="8">
        <f>163/2</f>
        <v>81.5</v>
      </c>
      <c r="H179" s="6" t="s">
        <v>86</v>
      </c>
    </row>
    <row r="180" spans="1:8" x14ac:dyDescent="0.25">
      <c r="B180" s="13" t="str">
        <f>'[1]Калькуляция САД'!C905</f>
        <v>Гроссини из рисовой муки</v>
      </c>
      <c r="C180" s="8">
        <f>'[1]Калькуляция САД'!G906*1.25</f>
        <v>75</v>
      </c>
      <c r="D180" s="7">
        <f>1.5+0.1+0.8+0.4</f>
        <v>2.8000000000000003</v>
      </c>
      <c r="E180" s="7">
        <f>0.1+11.6+0.7+0.5</f>
        <v>12.899999999999999</v>
      </c>
      <c r="F180" s="7">
        <f>16.4+8.4+0.1+0.1+0.7</f>
        <v>25.7</v>
      </c>
      <c r="G180" s="7">
        <f>72+33+105+9+9</f>
        <v>228</v>
      </c>
      <c r="H180" s="6" t="s">
        <v>85</v>
      </c>
    </row>
    <row r="181" spans="1:8" x14ac:dyDescent="0.25">
      <c r="B181" s="4" t="str">
        <f>'[1]Калькуляция САД'!C912</f>
        <v>Чай черный с фруктами</v>
      </c>
      <c r="C181" s="5">
        <f>'[1]Калькуляция САД'!G912*1.25</f>
        <v>187.5</v>
      </c>
      <c r="D181" s="5">
        <v>0</v>
      </c>
      <c r="E181" s="5">
        <v>0</v>
      </c>
      <c r="F181" s="5">
        <v>0</v>
      </c>
      <c r="G181" s="5">
        <v>5</v>
      </c>
      <c r="H181" s="9" t="s">
        <v>83</v>
      </c>
    </row>
    <row r="182" spans="1:8" ht="30" x14ac:dyDescent="0.25">
      <c r="A182" s="1" t="s">
        <v>5</v>
      </c>
      <c r="B182" s="1" t="str">
        <f>'[1]Калькуляция САД'!C918</f>
        <v>Котлеты из индейки на пару с рисом и сметаной</v>
      </c>
      <c r="C182" s="7">
        <f>'[1]Калькуляция САД'!G919*1.25</f>
        <v>350</v>
      </c>
      <c r="D182" s="8">
        <f>9.2+0.45+0.1+0.6+4</f>
        <v>14.349999999999998</v>
      </c>
      <c r="E182" s="8">
        <f>3+0.25+4+0.5+10</f>
        <v>17.75</v>
      </c>
      <c r="F182" s="8">
        <f>2.5+1+0.6+38</f>
        <v>42.1</v>
      </c>
      <c r="G182" s="8">
        <f>81+15+4+40+170+90</f>
        <v>400</v>
      </c>
      <c r="H182" s="1" t="s">
        <v>84</v>
      </c>
    </row>
    <row r="183" spans="1:8" x14ac:dyDescent="0.25">
      <c r="B183" s="1" t="str">
        <f>'[1]Калькуляция САД'!C929</f>
        <v>Овощи свежие</v>
      </c>
      <c r="C183" s="7">
        <f>'[1]Калькуляция САД'!G930*1.25</f>
        <v>106.25</v>
      </c>
      <c r="D183" s="7">
        <v>0.7</v>
      </c>
      <c r="E183" s="7">
        <v>0.1</v>
      </c>
      <c r="F183" s="7">
        <v>3.5</v>
      </c>
      <c r="G183" s="7">
        <v>17</v>
      </c>
      <c r="H183" s="6" t="s">
        <v>2</v>
      </c>
    </row>
    <row r="184" spans="1:8" x14ac:dyDescent="0.25">
      <c r="A184" s="4"/>
      <c r="B184" s="4" t="str">
        <f>'[1]Калькуляция САД'!C933</f>
        <v>Чай черный с фруктами</v>
      </c>
      <c r="C184" s="5">
        <f>'[1]Калькуляция САД'!G933*1.25</f>
        <v>187.5</v>
      </c>
      <c r="D184" s="5">
        <v>0</v>
      </c>
      <c r="E184" s="5">
        <v>0</v>
      </c>
      <c r="F184" s="5">
        <v>0</v>
      </c>
      <c r="G184" s="5">
        <v>5</v>
      </c>
      <c r="H184" s="9" t="s">
        <v>83</v>
      </c>
    </row>
    <row r="185" spans="1:8" ht="30" x14ac:dyDescent="0.25">
      <c r="A185" s="2" t="s">
        <v>82</v>
      </c>
      <c r="B185" s="2"/>
      <c r="C185" s="3">
        <f>SUM(C169:C184)</f>
        <v>2545</v>
      </c>
      <c r="D185" s="3">
        <f>SUM(D169:D184)</f>
        <v>86.11999999999999</v>
      </c>
      <c r="E185" s="3">
        <f>SUM(E169:E184)</f>
        <v>84.53</v>
      </c>
      <c r="F185" s="3">
        <f>SUM(F169:F184)</f>
        <v>244.54999999999998</v>
      </c>
      <c r="G185" s="3">
        <f>SUM(G169:G184)</f>
        <v>2077</v>
      </c>
      <c r="H185" s="2"/>
    </row>
    <row r="187" spans="1:8" ht="15.75" thickBot="1" x14ac:dyDescent="0.3">
      <c r="A187" s="19" t="s">
        <v>81</v>
      </c>
      <c r="B187" s="19"/>
      <c r="C187" s="19"/>
      <c r="D187" s="19"/>
      <c r="E187" s="19"/>
      <c r="F187" s="19"/>
      <c r="G187" s="19"/>
      <c r="H187" s="19"/>
    </row>
    <row r="188" spans="1:8" ht="15.75" thickTop="1" x14ac:dyDescent="0.25">
      <c r="A188" s="1" t="s">
        <v>26</v>
      </c>
      <c r="B188" s="1" t="str">
        <f>'[1]Калькуляция САД'!C957</f>
        <v>Скрэмбл</v>
      </c>
      <c r="C188" s="8">
        <f>'[1]Калькуляция САД'!G958*1.25</f>
        <v>150</v>
      </c>
      <c r="D188" s="10">
        <v>12.8</v>
      </c>
      <c r="E188" s="10">
        <f>10.9+5.8</f>
        <v>16.7</v>
      </c>
      <c r="F188" s="10">
        <v>0.8</v>
      </c>
      <c r="G188" s="10">
        <v>215</v>
      </c>
      <c r="H188" s="1" t="s">
        <v>80</v>
      </c>
    </row>
    <row r="189" spans="1:8" ht="30" x14ac:dyDescent="0.25">
      <c r="B189" s="1" t="str">
        <f>'[1]Калькуляция САД'!C962</f>
        <v>Горячий бутерброд с маслом сыром</v>
      </c>
      <c r="C189" s="7">
        <f>'[1]Калькуляция САД'!G962*1.25</f>
        <v>46.875</v>
      </c>
      <c r="D189" s="8">
        <f>9.3/2</f>
        <v>4.6500000000000004</v>
      </c>
      <c r="E189" s="8">
        <v>6.3</v>
      </c>
      <c r="F189" s="8">
        <v>13.3</v>
      </c>
      <c r="G189" s="8">
        <v>127.5</v>
      </c>
      <c r="H189" s="1" t="s">
        <v>21</v>
      </c>
    </row>
    <row r="190" spans="1:8" x14ac:dyDescent="0.25">
      <c r="B190" s="1" t="str">
        <f>'[1]Калькуляция САД'!C966</f>
        <v>Сухофрукты</v>
      </c>
      <c r="C190" s="7">
        <f>'[1]Калькуляция САД'!G966*1.25</f>
        <v>12.5</v>
      </c>
      <c r="D190" s="7">
        <v>0.3</v>
      </c>
      <c r="E190" s="7">
        <v>0.1</v>
      </c>
      <c r="F190" s="7">
        <v>6.2</v>
      </c>
      <c r="G190" s="7">
        <v>24.5</v>
      </c>
      <c r="H190" s="1" t="s">
        <v>23</v>
      </c>
    </row>
    <row r="191" spans="1:8" x14ac:dyDescent="0.25">
      <c r="B191" s="1" t="str">
        <f>'[1]Калькуляция САД'!C967</f>
        <v>Банан</v>
      </c>
      <c r="C191" s="7">
        <f>'[1]Калькуляция САД'!G967*1.25</f>
        <v>125</v>
      </c>
      <c r="D191" s="7">
        <v>1.6</v>
      </c>
      <c r="E191" s="7">
        <v>0.2</v>
      </c>
      <c r="F191" s="7">
        <v>23</v>
      </c>
      <c r="G191" s="7">
        <v>100</v>
      </c>
      <c r="H191" s="1" t="s">
        <v>67</v>
      </c>
    </row>
    <row r="192" spans="1:8" x14ac:dyDescent="0.25">
      <c r="B192" s="4" t="str">
        <f>'[1]Калькуляция САД'!C968</f>
        <v>Чай зеленый</v>
      </c>
      <c r="C192" s="5">
        <f>'[1]Калькуляция САД'!G968*1.25</f>
        <v>187.5</v>
      </c>
      <c r="D192" s="5">
        <v>0</v>
      </c>
      <c r="E192" s="5">
        <v>0</v>
      </c>
      <c r="F192" s="5">
        <v>0</v>
      </c>
      <c r="G192" s="5">
        <v>1</v>
      </c>
      <c r="H192" s="4" t="s">
        <v>1</v>
      </c>
    </row>
    <row r="193" spans="1:8" x14ac:dyDescent="0.25">
      <c r="A193" s="1" t="s">
        <v>18</v>
      </c>
      <c r="B193" s="1" t="str">
        <f>'[1]Калькуляция САД'!C970</f>
        <v>Салат из капусты и моркови</v>
      </c>
      <c r="C193" s="8">
        <f>'[1]Калькуляция САД'!G971*1.25</f>
        <v>100</v>
      </c>
      <c r="D193" s="8">
        <v>0.8</v>
      </c>
      <c r="E193" s="8">
        <v>5</v>
      </c>
      <c r="F193" s="8">
        <v>4.5</v>
      </c>
      <c r="G193" s="8">
        <v>64</v>
      </c>
      <c r="H193" s="1" t="s">
        <v>79</v>
      </c>
    </row>
    <row r="194" spans="1:8" x14ac:dyDescent="0.25">
      <c r="B194" s="1" t="str">
        <f>'[1]Калькуляция САД'!C975</f>
        <v>Рассольник</v>
      </c>
      <c r="C194" s="8">
        <f>'[1]Калькуляция САД'!G976*1.25</f>
        <v>375</v>
      </c>
      <c r="D194" s="8">
        <f>12.7+3.8</f>
        <v>16.5</v>
      </c>
      <c r="E194" s="8">
        <f>10.6+2.5</f>
        <v>13.1</v>
      </c>
      <c r="F194" s="8">
        <v>17.7</v>
      </c>
      <c r="G194" s="8">
        <f>260+37</f>
        <v>297</v>
      </c>
      <c r="H194" s="1" t="s">
        <v>78</v>
      </c>
    </row>
    <row r="195" spans="1:8" x14ac:dyDescent="0.25">
      <c r="B195" s="1" t="str">
        <f>'[1]Калькуляция САД'!C986</f>
        <v>Хлеб</v>
      </c>
      <c r="C195" s="8">
        <f>'[1]Калькуляция САД'!G986*1.25</f>
        <v>25</v>
      </c>
      <c r="D195" s="7">
        <v>1.7</v>
      </c>
      <c r="E195" s="7">
        <v>1.1000000000000001</v>
      </c>
      <c r="F195" s="7">
        <v>10.6</v>
      </c>
      <c r="G195" s="7">
        <v>58</v>
      </c>
      <c r="H195" s="1" t="s">
        <v>13</v>
      </c>
    </row>
    <row r="196" spans="1:8" x14ac:dyDescent="0.25">
      <c r="B196" s="1" t="str">
        <f>'[1]Калькуляция САД'!C987</f>
        <v>Компот из вишни</v>
      </c>
      <c r="C196" s="7">
        <f>'[1]Калькуляция САД'!G988*1.25</f>
        <v>187.5</v>
      </c>
      <c r="D196" s="7">
        <v>0</v>
      </c>
      <c r="E196" s="7">
        <v>0</v>
      </c>
      <c r="F196" s="7">
        <v>8.9</v>
      </c>
      <c r="G196" s="7">
        <v>34</v>
      </c>
      <c r="H196" s="1" t="s">
        <v>77</v>
      </c>
    </row>
    <row r="197" spans="1:8" ht="30" x14ac:dyDescent="0.25">
      <c r="B197" s="4" t="str">
        <f>'[1]Калькуляция ШК'!C1024</f>
        <v>Говядина, запеченная с травами</v>
      </c>
      <c r="C197" s="11">
        <f>'[1]Калькуляция ШК'!G1024</f>
        <v>100</v>
      </c>
      <c r="D197" s="11">
        <f>18.9+0.1+0.2+1.7</f>
        <v>20.9</v>
      </c>
      <c r="E197" s="11">
        <f>12.4+5+1.1</f>
        <v>18.5</v>
      </c>
      <c r="F197" s="11">
        <f>1+0.1+0.8+10.6</f>
        <v>12.5</v>
      </c>
      <c r="G197" s="11">
        <f>187+4+45+4+58</f>
        <v>298</v>
      </c>
      <c r="H197" s="4" t="s">
        <v>76</v>
      </c>
    </row>
    <row r="198" spans="1:8" x14ac:dyDescent="0.25">
      <c r="A198" s="1" t="s">
        <v>9</v>
      </c>
      <c r="B198" s="1" t="s">
        <v>75</v>
      </c>
      <c r="C198" s="8">
        <f>'[1]Калькуляция САД'!G993*1.25</f>
        <v>206.25</v>
      </c>
      <c r="D198" s="8">
        <v>8.3000000000000007</v>
      </c>
      <c r="E198" s="8">
        <v>8.6999999999999993</v>
      </c>
      <c r="F198" s="8">
        <v>44.66</v>
      </c>
      <c r="G198" s="8">
        <v>301</v>
      </c>
      <c r="H198" s="1" t="s">
        <v>74</v>
      </c>
    </row>
    <row r="199" spans="1:8" x14ac:dyDescent="0.25">
      <c r="B199" s="4" t="str">
        <f>'[1]Калькуляция САД'!C1002</f>
        <v>Кефир</v>
      </c>
      <c r="C199" s="5">
        <f>'[1]Калькуляция САД'!G1002*1.25</f>
        <v>62.5</v>
      </c>
      <c r="D199" s="5">
        <v>0</v>
      </c>
      <c r="E199" s="5">
        <v>0</v>
      </c>
      <c r="F199" s="5">
        <v>0</v>
      </c>
      <c r="G199" s="5">
        <v>1</v>
      </c>
      <c r="H199" s="4" t="s">
        <v>73</v>
      </c>
    </row>
    <row r="200" spans="1:8" ht="30" x14ac:dyDescent="0.25">
      <c r="A200" s="1" t="s">
        <v>5</v>
      </c>
      <c r="B200" s="1" t="str">
        <f>'[1]Калькуляция САД'!C1004</f>
        <v>Рыбные котлеты с картофельным пюре</v>
      </c>
      <c r="C200" s="7">
        <f>'[1]Калькуляция САД'!G1005*1.25</f>
        <v>375</v>
      </c>
      <c r="D200" s="8">
        <f>3+13+1.1+1.7+1.4+0.1+1</f>
        <v>21.3</v>
      </c>
      <c r="E200" s="8">
        <f>0.1+0.6+0.2+1.1+1.6+5+4.1</f>
        <v>12.7</v>
      </c>
      <c r="F200" s="8">
        <f>26.2+6.8+10.6+2.4+0.1+0.1+8.75</f>
        <v>54.95</v>
      </c>
      <c r="G200" s="8">
        <f>135+58+33+58+29+45+37+45</f>
        <v>440</v>
      </c>
      <c r="H200" s="1" t="s">
        <v>72</v>
      </c>
    </row>
    <row r="201" spans="1:8" x14ac:dyDescent="0.25">
      <c r="B201" s="1" t="str">
        <f>'[1]Калькуляция САД'!C1013</f>
        <v>Овощи свежие</v>
      </c>
      <c r="C201" s="7">
        <f>'[1]Калькуляция САД'!G1014*1.25</f>
        <v>106.25</v>
      </c>
      <c r="D201" s="7">
        <v>0.7</v>
      </c>
      <c r="E201" s="7">
        <v>0.1</v>
      </c>
      <c r="F201" s="7">
        <v>3.5</v>
      </c>
      <c r="G201" s="7">
        <v>17</v>
      </c>
      <c r="H201" s="6" t="s">
        <v>2</v>
      </c>
    </row>
    <row r="202" spans="1:8" x14ac:dyDescent="0.25">
      <c r="A202" s="4"/>
      <c r="B202" s="4" t="str">
        <f>'[1]Калькуляция САД'!C1017</f>
        <v>Чай зеленый</v>
      </c>
      <c r="C202" s="5">
        <f>'[1]Калькуляция САД'!G1017*1.25</f>
        <v>187.5</v>
      </c>
      <c r="D202" s="5">
        <v>0</v>
      </c>
      <c r="E202" s="5">
        <v>0</v>
      </c>
      <c r="F202" s="5">
        <v>0</v>
      </c>
      <c r="G202" s="5">
        <v>1</v>
      </c>
      <c r="H202" s="4" t="s">
        <v>1</v>
      </c>
    </row>
    <row r="203" spans="1:8" ht="30" x14ac:dyDescent="0.25">
      <c r="A203" s="2" t="s">
        <v>71</v>
      </c>
      <c r="B203" s="2"/>
      <c r="C203" s="3">
        <f>SUM(C188:C202)</f>
        <v>2246.875</v>
      </c>
      <c r="D203" s="3">
        <f>SUM(D188:D202)</f>
        <v>89.550000000000011</v>
      </c>
      <c r="E203" s="3">
        <f>SUM(E188:E202)</f>
        <v>82.5</v>
      </c>
      <c r="F203" s="3">
        <f>SUM(F188:F202)</f>
        <v>200.61</v>
      </c>
      <c r="G203" s="3">
        <f>SUM(G188:G202)</f>
        <v>1979</v>
      </c>
      <c r="H203" s="2"/>
    </row>
    <row r="205" spans="1:8" ht="15.75" thickBot="1" x14ac:dyDescent="0.3">
      <c r="A205" s="19" t="s">
        <v>70</v>
      </c>
      <c r="B205" s="19"/>
      <c r="C205" s="19"/>
      <c r="D205" s="19"/>
      <c r="E205" s="19"/>
      <c r="F205" s="19"/>
      <c r="G205" s="19"/>
      <c r="H205" s="19"/>
    </row>
    <row r="206" spans="1:8" ht="15.75" thickTop="1" x14ac:dyDescent="0.25">
      <c r="A206" s="1" t="s">
        <v>26</v>
      </c>
      <c r="B206" s="1" t="str">
        <f>'[1]Калькуляция САД'!C1052</f>
        <v>Макароны с сыром</v>
      </c>
      <c r="C206" s="8">
        <f>'[1]Калькуляция САД'!G1053*1.25</f>
        <v>250</v>
      </c>
      <c r="D206" s="7">
        <f>10.5+5.3</f>
        <v>15.8</v>
      </c>
      <c r="E206" s="7">
        <f>1.5+5+4.2</f>
        <v>10.7</v>
      </c>
      <c r="F206" s="7">
        <f>52.3</f>
        <v>52.3</v>
      </c>
      <c r="G206" s="7">
        <v>369</v>
      </c>
      <c r="H206" s="1" t="s">
        <v>69</v>
      </c>
    </row>
    <row r="207" spans="1:8" x14ac:dyDescent="0.25">
      <c r="B207" s="1" t="str">
        <f>'[1]Калькуляция САД'!C1057</f>
        <v>Сухофрукты</v>
      </c>
      <c r="C207" s="7">
        <f>'[1]Калькуляция САД'!G1057*1.25</f>
        <v>12.5</v>
      </c>
      <c r="D207" s="7">
        <v>0.3</v>
      </c>
      <c r="E207" s="7">
        <v>0.1</v>
      </c>
      <c r="F207" s="7">
        <v>6.2</v>
      </c>
      <c r="G207" s="7">
        <v>24.5</v>
      </c>
      <c r="H207" s="1" t="s">
        <v>23</v>
      </c>
    </row>
    <row r="208" spans="1:8" x14ac:dyDescent="0.25">
      <c r="B208" s="1" t="s">
        <v>68</v>
      </c>
      <c r="C208" s="7">
        <f>'[1]Калькуляция САД'!G1058*1.25</f>
        <v>125</v>
      </c>
      <c r="D208" s="8">
        <v>0.4</v>
      </c>
      <c r="E208" s="8">
        <v>0.4</v>
      </c>
      <c r="F208" s="8">
        <v>9.8000000000000007</v>
      </c>
      <c r="G208" s="8">
        <v>47</v>
      </c>
      <c r="H208" s="1" t="s">
        <v>67</v>
      </c>
    </row>
    <row r="209" spans="1:8" x14ac:dyDescent="0.25">
      <c r="B209" s="4" t="str">
        <f>'[1]Калькуляция САД'!C1059</f>
        <v>Чай черный</v>
      </c>
      <c r="C209" s="5">
        <f>'[1]Калькуляция САД'!G1059*1.25</f>
        <v>187.5</v>
      </c>
      <c r="D209" s="5">
        <v>0</v>
      </c>
      <c r="E209" s="5">
        <v>0</v>
      </c>
      <c r="F209" s="5">
        <v>0</v>
      </c>
      <c r="G209" s="5">
        <v>1</v>
      </c>
      <c r="H209" s="4" t="s">
        <v>1</v>
      </c>
    </row>
    <row r="210" spans="1:8" x14ac:dyDescent="0.25">
      <c r="A210" s="1" t="s">
        <v>18</v>
      </c>
      <c r="B210" s="1" t="str">
        <f>'[1]Калькуляция САД'!C1061</f>
        <v>Салат из капусты и помидор</v>
      </c>
      <c r="C210" s="8">
        <f>'[1]Калькуляция САД'!G1062*1.25</f>
        <v>106.25</v>
      </c>
      <c r="D210" s="8">
        <f>0.5</f>
        <v>0.5</v>
      </c>
      <c r="E210" s="8">
        <v>5</v>
      </c>
      <c r="F210" s="8">
        <v>3.8</v>
      </c>
      <c r="G210" s="8">
        <f>17+45</f>
        <v>62</v>
      </c>
      <c r="H210" s="1" t="s">
        <v>66</v>
      </c>
    </row>
    <row r="211" spans="1:8" ht="30" x14ac:dyDescent="0.25">
      <c r="B211" s="1" t="str">
        <f>'[1]Калькуляция САД'!C1067</f>
        <v>Суп-пюре из индейки с цветной капустой</v>
      </c>
      <c r="C211" s="8">
        <f>'[1]Калькуляция САД'!G1068*1.25</f>
        <v>375</v>
      </c>
      <c r="D211" s="8">
        <f>1.5+1+1.4+0.2+6.2+0.4</f>
        <v>10.700000000000001</v>
      </c>
      <c r="E211" s="8">
        <f>0.3+0.1+2+5+0.1</f>
        <v>7.5</v>
      </c>
      <c r="F211" s="8">
        <f>12.8+2.7+10.4+0.9+3.2</f>
        <v>29.999999999999996</v>
      </c>
      <c r="G211" s="8">
        <v>252</v>
      </c>
      <c r="H211" s="1" t="s">
        <v>65</v>
      </c>
    </row>
    <row r="212" spans="1:8" x14ac:dyDescent="0.25">
      <c r="B212" s="1" t="str">
        <f>'[1]Калькуляция САД'!C1076</f>
        <v>Гренки</v>
      </c>
      <c r="C212" s="8">
        <f>'[1]Калькуляция САД'!G1076*1.25</f>
        <v>50</v>
      </c>
      <c r="D212" s="7">
        <v>3.4</v>
      </c>
      <c r="E212" s="7">
        <v>2.2000000000000002</v>
      </c>
      <c r="F212" s="7">
        <v>21.6</v>
      </c>
      <c r="G212" s="7">
        <v>116</v>
      </c>
      <c r="H212" s="1" t="s">
        <v>64</v>
      </c>
    </row>
    <row r="213" spans="1:8" x14ac:dyDescent="0.25">
      <c r="B213" s="1" t="s">
        <v>50</v>
      </c>
      <c r="C213" s="7">
        <f>'[1]Калькуляция САД'!G1078*1.25</f>
        <v>187.5</v>
      </c>
      <c r="D213" s="7">
        <v>0.3</v>
      </c>
      <c r="E213" s="7">
        <v>0.1</v>
      </c>
      <c r="F213" s="7">
        <v>13.1</v>
      </c>
      <c r="G213" s="7">
        <v>54</v>
      </c>
      <c r="H213" s="1" t="s">
        <v>34</v>
      </c>
    </row>
    <row r="214" spans="1:8" x14ac:dyDescent="0.25">
      <c r="B214" s="4" t="s">
        <v>63</v>
      </c>
      <c r="C214" s="11">
        <f>'[1]Калькуляция ШК'!G1114</f>
        <v>100</v>
      </c>
      <c r="D214" s="11">
        <f>24.5+0.1+1.2</f>
        <v>25.8</v>
      </c>
      <c r="E214" s="11">
        <f>6.1+5+0.84</f>
        <v>11.94</v>
      </c>
      <c r="F214" s="11">
        <f>0.1+0.6+0.1+8</f>
        <v>8.8000000000000007</v>
      </c>
      <c r="G214" s="11">
        <f>155+2+45+43.5</f>
        <v>245.5</v>
      </c>
      <c r="H214" s="4" t="s">
        <v>62</v>
      </c>
    </row>
    <row r="215" spans="1:8" x14ac:dyDescent="0.25">
      <c r="A215" s="1" t="s">
        <v>9</v>
      </c>
      <c r="B215" s="1" t="str">
        <f>'[1]Калькуляция САД'!C1082</f>
        <v>Блинчики со сгущенкой</v>
      </c>
      <c r="C215" s="8">
        <f>'[1]Калькуляция САД'!G1083*1.25</f>
        <v>250</v>
      </c>
      <c r="D215" s="8">
        <f>4.6+2.8+1.9+1.5</f>
        <v>10.799999999999999</v>
      </c>
      <c r="E215" s="8">
        <f>0.9+3.2+5+1.6+2.6</f>
        <v>13.3</v>
      </c>
      <c r="F215" s="8">
        <f>24.6+10.5+4.7+0.1+0.1+16.7</f>
        <v>56.7</v>
      </c>
      <c r="G215" s="8">
        <f>125+41+58+45+24+96-20</f>
        <v>369</v>
      </c>
      <c r="H215" s="1" t="s">
        <v>61</v>
      </c>
    </row>
    <row r="216" spans="1:8" x14ac:dyDescent="0.25">
      <c r="B216" s="4" t="str">
        <f>'[1]Калькуляция САД'!C1091</f>
        <v>Чай черный</v>
      </c>
      <c r="C216" s="5">
        <f>'[1]Калькуляция САД'!G1091*1.25</f>
        <v>187.5</v>
      </c>
      <c r="D216" s="5">
        <v>1.5</v>
      </c>
      <c r="E216" s="5">
        <v>1.6</v>
      </c>
      <c r="F216" s="5">
        <v>2</v>
      </c>
      <c r="G216" s="5">
        <v>29</v>
      </c>
      <c r="H216" s="4" t="s">
        <v>1</v>
      </c>
    </row>
    <row r="217" spans="1:8" x14ac:dyDescent="0.25">
      <c r="A217" s="1" t="s">
        <v>5</v>
      </c>
      <c r="B217" s="1" t="s">
        <v>60</v>
      </c>
      <c r="C217" s="7">
        <f>'[1]Калькуляция САД'!G1094*1.25</f>
        <v>375</v>
      </c>
      <c r="D217" s="8">
        <f>14.2+0.2+0.5+6+0.4</f>
        <v>21.299999999999997</v>
      </c>
      <c r="E217" s="8">
        <f>9.3+3+0.3+0.8+0.1+10</f>
        <v>23.5</v>
      </c>
      <c r="F217" s="8">
        <f>1.6+2.7+38+2.1</f>
        <v>44.4</v>
      </c>
      <c r="G217" s="8">
        <f>140+6+22+14.5+185+10+90-20</f>
        <v>447.5</v>
      </c>
      <c r="H217" s="1" t="s">
        <v>59</v>
      </c>
    </row>
    <row r="218" spans="1:8" x14ac:dyDescent="0.25">
      <c r="B218" s="1" t="str">
        <f>'[1]Калькуляция САД'!C1103</f>
        <v>Овощи свежие</v>
      </c>
      <c r="C218" s="7">
        <f>'[1]Калькуляция САД'!G1104*1.25</f>
        <v>106.25</v>
      </c>
      <c r="D218" s="7">
        <v>0.7</v>
      </c>
      <c r="E218" s="7">
        <v>0.1</v>
      </c>
      <c r="F218" s="7">
        <v>3.5</v>
      </c>
      <c r="G218" s="7">
        <v>17</v>
      </c>
      <c r="H218" s="6" t="s">
        <v>58</v>
      </c>
    </row>
    <row r="219" spans="1:8" x14ac:dyDescent="0.25">
      <c r="A219" s="4"/>
      <c r="B219" s="4" t="str">
        <f>'[1]Калькуляция САД'!C1107</f>
        <v>Чай черный</v>
      </c>
      <c r="C219" s="5">
        <f>'[1]Калькуляция САД'!G1107*1.25</f>
        <v>187.5</v>
      </c>
      <c r="D219" s="5">
        <v>0</v>
      </c>
      <c r="E219" s="5">
        <v>0</v>
      </c>
      <c r="F219" s="5">
        <v>0</v>
      </c>
      <c r="G219" s="5">
        <v>1</v>
      </c>
      <c r="H219" s="4" t="s">
        <v>1</v>
      </c>
    </row>
    <row r="220" spans="1:8" ht="30" x14ac:dyDescent="0.25">
      <c r="A220" s="2" t="s">
        <v>57</v>
      </c>
      <c r="B220" s="2"/>
      <c r="C220" s="3">
        <f>SUM(C206:C219)</f>
        <v>2500</v>
      </c>
      <c r="D220" s="3">
        <f>SUM(D206:D219)</f>
        <v>91.5</v>
      </c>
      <c r="E220" s="3">
        <f>SUM(E206:E219)</f>
        <v>76.44</v>
      </c>
      <c r="F220" s="3">
        <f>SUM(F206:F219)</f>
        <v>252.20000000000002</v>
      </c>
      <c r="G220" s="3">
        <f>SUM(G206:G219)</f>
        <v>2034.5</v>
      </c>
      <c r="H220" s="2"/>
    </row>
    <row r="222" spans="1:8" ht="15.75" thickBot="1" x14ac:dyDescent="0.3">
      <c r="A222" s="19" t="s">
        <v>56</v>
      </c>
      <c r="B222" s="19"/>
      <c r="C222" s="19"/>
      <c r="D222" s="19"/>
      <c r="E222" s="19"/>
      <c r="F222" s="19"/>
      <c r="G222" s="19"/>
      <c r="H222" s="19"/>
    </row>
    <row r="223" spans="1:8" ht="15.75" thickTop="1" x14ac:dyDescent="0.25">
      <c r="A223" s="1" t="s">
        <v>26</v>
      </c>
      <c r="B223" s="1" t="s">
        <v>55</v>
      </c>
      <c r="C223" s="8">
        <f>'[1]Калькуляция САД'!G1148*1.25</f>
        <v>250</v>
      </c>
      <c r="D223" s="8">
        <v>3.6</v>
      </c>
      <c r="E223" s="8">
        <v>8.8000000000000007</v>
      </c>
      <c r="F223" s="8">
        <f>38.5+4.9+0.1</f>
        <v>43.5</v>
      </c>
      <c r="G223" s="8">
        <f>175+19+75</f>
        <v>269</v>
      </c>
      <c r="H223" s="1" t="s">
        <v>54</v>
      </c>
    </row>
    <row r="224" spans="1:8" x14ac:dyDescent="0.25">
      <c r="B224" s="1" t="str">
        <f>'[1]Калькуляция САД'!C1153</f>
        <v>Сухофрукты</v>
      </c>
      <c r="C224" s="7">
        <f>'[1]Калькуляция САД'!G1153*1.25</f>
        <v>12.5</v>
      </c>
      <c r="D224" s="7">
        <v>0.3</v>
      </c>
      <c r="E224" s="7">
        <v>0.1</v>
      </c>
      <c r="F224" s="7">
        <v>6.2</v>
      </c>
      <c r="G224" s="7">
        <v>24.5</v>
      </c>
      <c r="H224" s="1" t="s">
        <v>23</v>
      </c>
    </row>
    <row r="225" spans="1:8" x14ac:dyDescent="0.25">
      <c r="B225" s="1" t="str">
        <f>'[1]Калькуляция САД'!C1154</f>
        <v>Мандарин</v>
      </c>
      <c r="C225" s="7">
        <f>'[1]Калькуляция САД'!G1154*1.25</f>
        <v>87.5</v>
      </c>
      <c r="D225" s="8">
        <v>0.9</v>
      </c>
      <c r="E225" s="8">
        <v>0.3</v>
      </c>
      <c r="F225" s="8">
        <v>14.2</v>
      </c>
      <c r="G225" s="8">
        <v>56</v>
      </c>
      <c r="H225" s="1" t="s">
        <v>53</v>
      </c>
    </row>
    <row r="226" spans="1:8" x14ac:dyDescent="0.25">
      <c r="B226" s="4" t="str">
        <f>'[1]Калькуляция САД'!C1155</f>
        <v>Чай зеленый</v>
      </c>
      <c r="C226" s="5">
        <f>'[1]Калькуляция САД'!G1155*1.25</f>
        <v>187.5</v>
      </c>
      <c r="D226" s="5">
        <v>0</v>
      </c>
      <c r="E226" s="5">
        <v>0</v>
      </c>
      <c r="F226" s="5">
        <v>0</v>
      </c>
      <c r="G226" s="5">
        <v>1</v>
      </c>
      <c r="H226" s="4" t="s">
        <v>1</v>
      </c>
    </row>
    <row r="227" spans="1:8" x14ac:dyDescent="0.25">
      <c r="A227" s="1" t="s">
        <v>18</v>
      </c>
      <c r="B227" s="1" t="str">
        <f>'[1]Калькуляция САД'!C1157</f>
        <v>Салат картофельный с луком</v>
      </c>
      <c r="C227" s="8">
        <f>'[1]Калькуляция САД'!G1158*1.25</f>
        <v>187.5</v>
      </c>
      <c r="D227" s="8">
        <v>2.2000000000000002</v>
      </c>
      <c r="E227" s="8">
        <v>5.4</v>
      </c>
      <c r="F227" s="8">
        <f>17+1.2+45</f>
        <v>63.2</v>
      </c>
      <c r="G227" s="8">
        <f>80+5+45</f>
        <v>130</v>
      </c>
      <c r="H227" s="1" t="s">
        <v>52</v>
      </c>
    </row>
    <row r="228" spans="1:8" x14ac:dyDescent="0.25">
      <c r="B228" s="1" t="str">
        <f>'[1]Калькуляция САД'!C1165</f>
        <v>Борщ</v>
      </c>
      <c r="C228" s="8">
        <f>'[1]Калькуляция САД'!G1166*1.25</f>
        <v>400</v>
      </c>
      <c r="D228" s="8">
        <f>1+0.7+0.6+0.2+0.2+0.2+0.6+9.5+0.1</f>
        <v>13.1</v>
      </c>
      <c r="E228" s="8">
        <f>0.2+0.1+5+4+6.2+0.1</f>
        <v>15.6</v>
      </c>
      <c r="F228" s="8">
        <f>8.5+3.9+2.6+0.8+1.2+0.8+0.6</f>
        <v>18.400000000000002</v>
      </c>
      <c r="G228" s="8">
        <f>40+18+11+4+5+4+38+40+94+4</f>
        <v>258</v>
      </c>
      <c r="H228" s="1" t="s">
        <v>51</v>
      </c>
    </row>
    <row r="229" spans="1:8" x14ac:dyDescent="0.25">
      <c r="B229" s="1" t="str">
        <f>'[1]Калькуляция САД'!C1164</f>
        <v>Хлеб</v>
      </c>
      <c r="C229" s="8">
        <f>'[1]Калькуляция САД'!G1164*1.25</f>
        <v>25</v>
      </c>
      <c r="D229" s="7">
        <v>1.7</v>
      </c>
      <c r="E229" s="7">
        <v>1.1000000000000001</v>
      </c>
      <c r="F229" s="7">
        <v>10.6</v>
      </c>
      <c r="G229" s="7">
        <v>58</v>
      </c>
      <c r="H229" s="1" t="s">
        <v>35</v>
      </c>
    </row>
    <row r="230" spans="1:8" x14ac:dyDescent="0.25">
      <c r="B230" s="13" t="s">
        <v>50</v>
      </c>
      <c r="C230" s="7">
        <f>'[1]Калькуляция САД'!G1180*1.25</f>
        <v>187.5</v>
      </c>
      <c r="D230" s="7">
        <v>0.3</v>
      </c>
      <c r="E230" s="7">
        <v>0.1</v>
      </c>
      <c r="F230" s="7">
        <v>13.1</v>
      </c>
      <c r="G230" s="7">
        <v>54</v>
      </c>
      <c r="H230" s="14" t="s">
        <v>49</v>
      </c>
    </row>
    <row r="231" spans="1:8" ht="30" x14ac:dyDescent="0.25">
      <c r="B231" s="4" t="s">
        <v>48</v>
      </c>
      <c r="C231" s="11">
        <f>'[1]Калькуляция ШК'!G1223</f>
        <v>180</v>
      </c>
      <c r="D231" s="11">
        <v>20.3</v>
      </c>
      <c r="E231" s="11">
        <v>22.4</v>
      </c>
      <c r="F231" s="11">
        <v>10.3</v>
      </c>
      <c r="G231" s="11">
        <f>187+8+50</f>
        <v>245</v>
      </c>
      <c r="H231" s="4" t="s">
        <v>47</v>
      </c>
    </row>
    <row r="232" spans="1:8" x14ac:dyDescent="0.25">
      <c r="A232" s="1" t="s">
        <v>9</v>
      </c>
      <c r="B232" s="1" t="str">
        <f>'[1]Калькуляция САД'!C1184</f>
        <v>Сырники со сметаной</v>
      </c>
      <c r="C232" s="8">
        <f>'[1]Калькуляция САД'!G1185*1.25</f>
        <v>168.75</v>
      </c>
      <c r="D232" s="10">
        <v>20.2</v>
      </c>
      <c r="E232" s="10">
        <v>23.1</v>
      </c>
      <c r="F232" s="10">
        <v>44.6</v>
      </c>
      <c r="G232" s="10">
        <v>407</v>
      </c>
      <c r="H232" s="1" t="s">
        <v>46</v>
      </c>
    </row>
    <row r="233" spans="1:8" x14ac:dyDescent="0.25">
      <c r="B233" s="4" t="s">
        <v>45</v>
      </c>
      <c r="C233" s="5">
        <f>'[1]Калькуляция САД'!G1193*1.25</f>
        <v>62.5</v>
      </c>
      <c r="D233" s="5">
        <v>1.5</v>
      </c>
      <c r="E233" s="5">
        <v>1.6</v>
      </c>
      <c r="F233" s="5">
        <v>2</v>
      </c>
      <c r="G233" s="5">
        <v>29</v>
      </c>
      <c r="H233" s="4" t="s">
        <v>1</v>
      </c>
    </row>
    <row r="234" spans="1:8" ht="30" x14ac:dyDescent="0.25">
      <c r="A234" s="1" t="s">
        <v>5</v>
      </c>
      <c r="B234" s="1" t="str">
        <f>'[1]Калькуляция САД'!C1195</f>
        <v>Котлеты из цыпленка с птитим и шпинатным соусом</v>
      </c>
      <c r="C234" s="7">
        <f>'[1]Калькуляция САД'!G1196*1.25</f>
        <v>375</v>
      </c>
      <c r="D234" s="8">
        <f>9.2+0.5+0.2+0.15+7+3.8+0.5</f>
        <v>21.349999999999998</v>
      </c>
      <c r="E234" s="8">
        <f>3+0.6+1+1+10+4.1+0.6</f>
        <v>20.3</v>
      </c>
      <c r="F234" s="8">
        <f>5.3+1.2+0.15+34.9+5.3</f>
        <v>46.849999999999994</v>
      </c>
      <c r="G234" s="8">
        <f>81+29+5+10+180+90+53+29</f>
        <v>477</v>
      </c>
      <c r="H234" s="1" t="s">
        <v>44</v>
      </c>
    </row>
    <row r="235" spans="1:8" x14ac:dyDescent="0.25">
      <c r="B235" s="1" t="str">
        <f>'[1]Калькуляция САД'!C1212</f>
        <v>Овощи свежие</v>
      </c>
      <c r="C235" s="7">
        <f>'[1]Калькуляция САД'!G1213*1.25</f>
        <v>106.25</v>
      </c>
      <c r="D235" s="7">
        <v>0.7</v>
      </c>
      <c r="E235" s="7">
        <v>0.1</v>
      </c>
      <c r="F235" s="7">
        <v>3.5</v>
      </c>
      <c r="G235" s="7">
        <v>17</v>
      </c>
      <c r="H235" s="6" t="s">
        <v>2</v>
      </c>
    </row>
    <row r="236" spans="1:8" x14ac:dyDescent="0.25">
      <c r="A236" s="4"/>
      <c r="B236" s="4" t="str">
        <f>'[1]Калькуляция САД'!C1216</f>
        <v>Чай зеленый</v>
      </c>
      <c r="C236" s="5">
        <f>'[1]Калькуляция САД'!G1216*1.25</f>
        <v>187.5</v>
      </c>
      <c r="D236" s="5">
        <v>0</v>
      </c>
      <c r="E236" s="5">
        <v>0</v>
      </c>
      <c r="F236" s="5">
        <v>0</v>
      </c>
      <c r="G236" s="5">
        <v>1</v>
      </c>
      <c r="H236" s="4" t="s">
        <v>1</v>
      </c>
    </row>
    <row r="237" spans="1:8" ht="30" x14ac:dyDescent="0.25">
      <c r="A237" s="2" t="s">
        <v>43</v>
      </c>
      <c r="B237" s="2"/>
      <c r="C237" s="3">
        <f>SUM(C223:C236)</f>
        <v>2417.5</v>
      </c>
      <c r="D237" s="3">
        <f>SUM(D223:D236)</f>
        <v>86.15</v>
      </c>
      <c r="E237" s="3">
        <f>SUM(E223:E236)</f>
        <v>98.899999999999991</v>
      </c>
      <c r="F237" s="3">
        <f>SUM(F223:F236)</f>
        <v>276.45</v>
      </c>
      <c r="G237" s="3">
        <f>SUM(G223:G236)</f>
        <v>2026.5</v>
      </c>
      <c r="H237" s="2"/>
    </row>
    <row r="239" spans="1:8" ht="15.75" thickBot="1" x14ac:dyDescent="0.3">
      <c r="A239" s="19" t="s">
        <v>42</v>
      </c>
      <c r="B239" s="19"/>
      <c r="C239" s="19"/>
      <c r="D239" s="19"/>
      <c r="E239" s="19"/>
      <c r="F239" s="19"/>
      <c r="G239" s="19"/>
      <c r="H239" s="19"/>
    </row>
    <row r="240" spans="1:8" ht="15.75" thickTop="1" x14ac:dyDescent="0.25">
      <c r="A240" s="1" t="s">
        <v>26</v>
      </c>
      <c r="B240" s="13" t="s">
        <v>41</v>
      </c>
      <c r="C240" s="8">
        <f>'[1]Калькуляция САД'!G1243*1.25</f>
        <v>250</v>
      </c>
      <c r="D240" s="8">
        <v>6</v>
      </c>
      <c r="E240" s="8">
        <v>11</v>
      </c>
      <c r="F240" s="8">
        <v>38</v>
      </c>
      <c r="G240" s="8">
        <v>255</v>
      </c>
      <c r="H240" s="1" t="s">
        <v>40</v>
      </c>
    </row>
    <row r="241" spans="1:8" x14ac:dyDescent="0.25">
      <c r="B241" s="1" t="str">
        <f>'[1]Калькуляция САД'!C1248</f>
        <v>Сухофрукты</v>
      </c>
      <c r="C241" s="7">
        <f>'[1]Калькуляция САД'!G1248*1.25</f>
        <v>12.5</v>
      </c>
      <c r="D241" s="7">
        <v>0.3</v>
      </c>
      <c r="E241" s="7">
        <v>0.1</v>
      </c>
      <c r="F241" s="7">
        <v>6.2</v>
      </c>
      <c r="G241" s="7">
        <v>24.5</v>
      </c>
      <c r="H241" s="1" t="s">
        <v>23</v>
      </c>
    </row>
    <row r="242" spans="1:8" ht="30" x14ac:dyDescent="0.25">
      <c r="B242" s="1" t="str">
        <f>'[1]Калькуляция САД'!C1249</f>
        <v>Горячий бутерброд с маслом сыром</v>
      </c>
      <c r="C242" s="7">
        <f>'[1]Калькуляция САД'!G1249*1.25</f>
        <v>46.875</v>
      </c>
      <c r="D242" s="8">
        <v>4.7</v>
      </c>
      <c r="E242" s="8">
        <v>6.3</v>
      </c>
      <c r="F242" s="8">
        <v>13.3</v>
      </c>
      <c r="G242" s="8">
        <v>127.5</v>
      </c>
      <c r="H242" s="1" t="s">
        <v>21</v>
      </c>
    </row>
    <row r="243" spans="1:8" x14ac:dyDescent="0.25">
      <c r="B243" s="1" t="str">
        <f>'[1]Калькуляция САД'!C1253</f>
        <v>Груша</v>
      </c>
      <c r="C243" s="7">
        <f>'[1]Калькуляция САД'!G1253*1.25</f>
        <v>125</v>
      </c>
      <c r="D243" s="7">
        <v>0.9</v>
      </c>
      <c r="E243" s="7">
        <v>1.9</v>
      </c>
      <c r="F243" s="7">
        <v>12.4</v>
      </c>
      <c r="G243" s="7">
        <v>54</v>
      </c>
      <c r="H243" s="1" t="s">
        <v>39</v>
      </c>
    </row>
    <row r="244" spans="1:8" x14ac:dyDescent="0.25">
      <c r="B244" s="4" t="str">
        <f>'[1]Калькуляция САД'!C1254</f>
        <v>Чай черный</v>
      </c>
      <c r="C244" s="5">
        <f>'[1]Калькуляция САД'!G1254*1.25</f>
        <v>187.5</v>
      </c>
      <c r="D244" s="5">
        <v>0</v>
      </c>
      <c r="E244" s="5">
        <v>0</v>
      </c>
      <c r="F244" s="5">
        <v>0</v>
      </c>
      <c r="G244" s="5">
        <v>1</v>
      </c>
      <c r="H244" s="4" t="s">
        <v>1</v>
      </c>
    </row>
    <row r="245" spans="1:8" x14ac:dyDescent="0.25">
      <c r="A245" s="1" t="s">
        <v>18</v>
      </c>
      <c r="B245" s="1" t="str">
        <f>'[1]Калькуляция САД'!C1256</f>
        <v>Салат Зимний</v>
      </c>
      <c r="C245" s="8">
        <f>'[1]Калькуляция САД'!G1257*1.25</f>
        <v>112.5</v>
      </c>
      <c r="D245" s="8">
        <f>0.6+0.3+0.3</f>
        <v>1.2</v>
      </c>
      <c r="E245" s="8">
        <f>0.1+5</f>
        <v>5.0999999999999996</v>
      </c>
      <c r="F245" s="8">
        <f>5.2+0.7+0.4+0.1</f>
        <v>6.4</v>
      </c>
      <c r="G245" s="8">
        <f>27+4+3+45+2</f>
        <v>81</v>
      </c>
      <c r="H245" s="1" t="s">
        <v>38</v>
      </c>
    </row>
    <row r="246" spans="1:8" x14ac:dyDescent="0.25">
      <c r="B246" s="1" t="s">
        <v>37</v>
      </c>
      <c r="C246" s="8">
        <f>'[1]Калькуляция САД'!G1265*1.25</f>
        <v>375</v>
      </c>
      <c r="D246" s="8">
        <f>2+0.2+0.2+0.6+11.7</f>
        <v>14.7</v>
      </c>
      <c r="E246" s="8">
        <f>0.4+0.2+5+0.4</f>
        <v>6</v>
      </c>
      <c r="F246" s="8">
        <f>17+1.2+0.9+3.7</f>
        <v>22.799999999999997</v>
      </c>
      <c r="G246" s="8">
        <v>238</v>
      </c>
      <c r="H246" s="1" t="s">
        <v>36</v>
      </c>
    </row>
    <row r="247" spans="1:8" x14ac:dyDescent="0.25">
      <c r="B247" s="1" t="str">
        <f>'[1]Калькуляция САД'!C1273</f>
        <v>Хлеб</v>
      </c>
      <c r="C247" s="8">
        <f>'[1]Калькуляция САД'!G1273*1.25</f>
        <v>50</v>
      </c>
      <c r="D247" s="7">
        <v>3.4</v>
      </c>
      <c r="E247" s="7">
        <v>2.2000000000000002</v>
      </c>
      <c r="F247" s="7">
        <v>21.2</v>
      </c>
      <c r="G247" s="7">
        <v>116</v>
      </c>
      <c r="H247" s="6" t="s">
        <v>35</v>
      </c>
    </row>
    <row r="248" spans="1:8" x14ac:dyDescent="0.25">
      <c r="B248" s="1" t="str">
        <f>'[1]Калькуляция САД'!C1274</f>
        <v>Компот ягодный</v>
      </c>
      <c r="C248" s="7">
        <f>'[1]Калькуляция САД'!G1275*1.25</f>
        <v>187.5</v>
      </c>
      <c r="D248" s="7">
        <v>0.3</v>
      </c>
      <c r="E248" s="7">
        <v>0.1</v>
      </c>
      <c r="F248" s="7">
        <v>13.1</v>
      </c>
      <c r="G248" s="7">
        <v>54</v>
      </c>
      <c r="H248" s="14" t="s">
        <v>34</v>
      </c>
    </row>
    <row r="249" spans="1:8" x14ac:dyDescent="0.25">
      <c r="B249" s="4" t="s">
        <v>33</v>
      </c>
      <c r="C249" s="11">
        <f>'[1]Калькуляция ШК'!G1310</f>
        <v>120</v>
      </c>
      <c r="D249" s="11">
        <f>18+0.1+1.5</f>
        <v>19.600000000000001</v>
      </c>
      <c r="E249" s="11">
        <f>0.6+5+1</f>
        <v>6.6</v>
      </c>
      <c r="F249" s="11">
        <f>0.1+0.6+0.1+10</f>
        <v>10.8</v>
      </c>
      <c r="G249" s="11">
        <f>86+2+45+50</f>
        <v>183</v>
      </c>
      <c r="H249" s="4" t="s">
        <v>32</v>
      </c>
    </row>
    <row r="250" spans="1:8" ht="45" x14ac:dyDescent="0.25">
      <c r="A250" s="1" t="s">
        <v>9</v>
      </c>
      <c r="B250" s="1" t="str">
        <f>'[1]Калькуляция САД'!C1279</f>
        <v>Творожная запеканка со сметаной и домашним вареньем</v>
      </c>
      <c r="C250" s="8">
        <f>'[1]Калькуляция САД'!G1280*1.25</f>
        <v>200</v>
      </c>
      <c r="D250" s="10">
        <v>15.6</v>
      </c>
      <c r="E250" s="10">
        <v>19</v>
      </c>
      <c r="F250" s="10">
        <v>22.7</v>
      </c>
      <c r="G250" s="10">
        <v>315</v>
      </c>
      <c r="H250" s="1" t="s">
        <v>31</v>
      </c>
    </row>
    <row r="251" spans="1:8" x14ac:dyDescent="0.25">
      <c r="B251" s="4" t="str">
        <f>'[1]Калькуляция САД'!C1290</f>
        <v>Чай черный</v>
      </c>
      <c r="C251" s="5">
        <f>'[1]Калькуляция САД'!G1290*1.25</f>
        <v>187.5</v>
      </c>
      <c r="D251" s="5">
        <v>1.5</v>
      </c>
      <c r="E251" s="5">
        <v>1.6</v>
      </c>
      <c r="F251" s="5">
        <v>2</v>
      </c>
      <c r="G251" s="5">
        <v>29</v>
      </c>
      <c r="H251" s="4" t="s">
        <v>1</v>
      </c>
    </row>
    <row r="252" spans="1:8" x14ac:dyDescent="0.25">
      <c r="A252" s="1" t="s">
        <v>5</v>
      </c>
      <c r="B252" s="1" t="s">
        <v>30</v>
      </c>
      <c r="C252" s="7">
        <f>'[1]Калькуляция САД'!G1293*1.25</f>
        <v>343.75</v>
      </c>
      <c r="D252" s="8">
        <f>16.7+0.7</f>
        <v>17.399999999999999</v>
      </c>
      <c r="E252" s="8">
        <f>15.8+0.1</f>
        <v>15.9</v>
      </c>
      <c r="F252" s="8">
        <f>36.5+7.7</f>
        <v>44.2</v>
      </c>
      <c r="G252" s="8">
        <f>357+35</f>
        <v>392</v>
      </c>
      <c r="H252" s="1" t="s">
        <v>29</v>
      </c>
    </row>
    <row r="253" spans="1:8" x14ac:dyDescent="0.25">
      <c r="B253" s="1" t="str">
        <f>'[1]Калькуляция САД'!C1299</f>
        <v>Овощи свежие</v>
      </c>
      <c r="C253" s="7">
        <f>'[1]Калькуляция САД'!G1300*1.25</f>
        <v>106.25</v>
      </c>
      <c r="D253" s="7">
        <v>0.7</v>
      </c>
      <c r="E253" s="7">
        <v>0.1</v>
      </c>
      <c r="F253" s="7">
        <v>3.5</v>
      </c>
      <c r="G253" s="7">
        <v>17</v>
      </c>
      <c r="H253" s="6" t="s">
        <v>2</v>
      </c>
    </row>
    <row r="254" spans="1:8" x14ac:dyDescent="0.25">
      <c r="A254" s="4"/>
      <c r="B254" s="4" t="str">
        <f>'[1]Калькуляция САД'!C1303</f>
        <v>Чай черный</v>
      </c>
      <c r="C254" s="5">
        <f>'[1]Калькуляция САД'!G1303*1.25</f>
        <v>187.5</v>
      </c>
      <c r="D254" s="5">
        <v>0</v>
      </c>
      <c r="E254" s="5">
        <v>0</v>
      </c>
      <c r="F254" s="5">
        <v>0</v>
      </c>
      <c r="G254" s="5">
        <v>1</v>
      </c>
      <c r="H254" s="4" t="s">
        <v>1</v>
      </c>
    </row>
    <row r="255" spans="1:8" ht="30" x14ac:dyDescent="0.25">
      <c r="A255" s="2" t="s">
        <v>28</v>
      </c>
      <c r="B255" s="2"/>
      <c r="C255" s="3">
        <f>SUM(C240:C254)</f>
        <v>2491.875</v>
      </c>
      <c r="D255" s="3">
        <f>SUM(D240:D254)</f>
        <v>86.3</v>
      </c>
      <c r="E255" s="3">
        <f>SUM(E240:E254)</f>
        <v>75.900000000000006</v>
      </c>
      <c r="F255" s="3">
        <f>SUM(F240:F254)</f>
        <v>216.60000000000002</v>
      </c>
      <c r="G255" s="3">
        <f>SUM(G240:G254)</f>
        <v>1888</v>
      </c>
      <c r="H255" s="2"/>
    </row>
    <row r="257" spans="1:8" ht="15.75" thickBot="1" x14ac:dyDescent="0.3">
      <c r="A257" s="19" t="s">
        <v>27</v>
      </c>
      <c r="B257" s="19"/>
      <c r="C257" s="19"/>
      <c r="D257" s="19"/>
      <c r="E257" s="19"/>
      <c r="F257" s="19"/>
      <c r="G257" s="19"/>
      <c r="H257" s="19"/>
    </row>
    <row r="258" spans="1:8" ht="15.75" thickTop="1" x14ac:dyDescent="0.25">
      <c r="A258" s="1" t="s">
        <v>26</v>
      </c>
      <c r="B258" s="1" t="s">
        <v>25</v>
      </c>
      <c r="C258" s="8">
        <v>250</v>
      </c>
      <c r="D258" s="8">
        <v>3.6</v>
      </c>
      <c r="E258" s="8">
        <v>8.8000000000000007</v>
      </c>
      <c r="F258" s="8">
        <v>43.5</v>
      </c>
      <c r="G258" s="8">
        <v>269</v>
      </c>
      <c r="H258" s="1" t="s">
        <v>24</v>
      </c>
    </row>
    <row r="259" spans="1:8" x14ac:dyDescent="0.25">
      <c r="B259" s="1" t="str">
        <f>'[1]Калькуляция САД'!C1343</f>
        <v>Сухофрукты</v>
      </c>
      <c r="C259" s="7">
        <f>'[1]Калькуляция САД'!G1343*1.25</f>
        <v>12.5</v>
      </c>
      <c r="D259" s="7">
        <v>0.3</v>
      </c>
      <c r="E259" s="7">
        <v>0.1</v>
      </c>
      <c r="F259" s="7">
        <v>6.2</v>
      </c>
      <c r="G259" s="7">
        <v>24.5</v>
      </c>
      <c r="H259" s="1" t="s">
        <v>23</v>
      </c>
    </row>
    <row r="260" spans="1:8" ht="30" x14ac:dyDescent="0.25">
      <c r="B260" s="13" t="s">
        <v>22</v>
      </c>
      <c r="C260" s="7">
        <v>46.9</v>
      </c>
      <c r="D260" s="8">
        <v>4.7</v>
      </c>
      <c r="E260" s="8">
        <v>6.3</v>
      </c>
      <c r="F260" s="8">
        <v>13.3</v>
      </c>
      <c r="G260" s="8">
        <v>127.5</v>
      </c>
      <c r="H260" s="1" t="s">
        <v>21</v>
      </c>
    </row>
    <row r="261" spans="1:8" x14ac:dyDescent="0.25">
      <c r="B261" s="1" t="s">
        <v>20</v>
      </c>
      <c r="C261" s="7">
        <f>'[1]Калькуляция САД'!G1348*1.25</f>
        <v>0.625</v>
      </c>
      <c r="D261" s="7">
        <v>1.6</v>
      </c>
      <c r="E261" s="7">
        <v>0.2</v>
      </c>
      <c r="F261" s="7">
        <v>23</v>
      </c>
      <c r="G261" s="7">
        <v>100</v>
      </c>
      <c r="H261" s="1" t="s">
        <v>19</v>
      </c>
    </row>
    <row r="262" spans="1:8" x14ac:dyDescent="0.25">
      <c r="B262" s="4" t="str">
        <f>'[1]Калькуляция САД'!C1349</f>
        <v>Чай зеленый</v>
      </c>
      <c r="C262" s="5">
        <f>'[1]Калькуляция САД'!G1349*1.25</f>
        <v>187.5</v>
      </c>
      <c r="D262" s="5">
        <v>0</v>
      </c>
      <c r="E262" s="5">
        <v>0</v>
      </c>
      <c r="F262" s="5">
        <v>0</v>
      </c>
      <c r="G262" s="5">
        <v>1</v>
      </c>
      <c r="H262" s="4" t="s">
        <v>1</v>
      </c>
    </row>
    <row r="263" spans="1:8" x14ac:dyDescent="0.25">
      <c r="A263" s="1" t="s">
        <v>18</v>
      </c>
      <c r="B263" s="1" t="s">
        <v>17</v>
      </c>
      <c r="C263" s="8">
        <f>'[1]Калькуляция САД'!G1352*1.25</f>
        <v>143.75</v>
      </c>
      <c r="D263" s="8">
        <v>1.2</v>
      </c>
      <c r="E263" s="8">
        <v>5.6</v>
      </c>
      <c r="F263" s="8">
        <v>5.6</v>
      </c>
      <c r="G263" s="8">
        <v>70.5</v>
      </c>
      <c r="H263" s="1" t="s">
        <v>16</v>
      </c>
    </row>
    <row r="264" spans="1:8" x14ac:dyDescent="0.25">
      <c r="B264" s="1" t="s">
        <v>15</v>
      </c>
      <c r="C264" s="8">
        <f>'[1]Калькуляция САД'!G1360*1.25</f>
        <v>343.75</v>
      </c>
      <c r="D264" s="8">
        <f>6.2+2.8+1+0.2+0.2+1.2</f>
        <v>11.599999999999998</v>
      </c>
      <c r="E264" s="8">
        <f>2+0.4+0.2+1+5</f>
        <v>8.6</v>
      </c>
      <c r="F264" s="8">
        <f>13.9+8.5+0.9+1.2</f>
        <v>24.499999999999996</v>
      </c>
      <c r="G264" s="8">
        <f>54+72+40+4+5+14+45</f>
        <v>234</v>
      </c>
      <c r="H264" s="1" t="s">
        <v>14</v>
      </c>
    </row>
    <row r="265" spans="1:8" x14ac:dyDescent="0.25">
      <c r="B265" s="1" t="str">
        <f>'[1]Калькуляция САД'!C1370</f>
        <v>Хлеб</v>
      </c>
      <c r="C265" s="8">
        <f>'[1]Калькуляция САД'!G1370*1.25</f>
        <v>50</v>
      </c>
      <c r="D265" s="7">
        <v>3.4</v>
      </c>
      <c r="E265" s="7">
        <v>2.2000000000000002</v>
      </c>
      <c r="F265" s="7">
        <v>21.2</v>
      </c>
      <c r="G265" s="7">
        <v>116</v>
      </c>
      <c r="H265" s="1" t="s">
        <v>13</v>
      </c>
    </row>
    <row r="266" spans="1:8" x14ac:dyDescent="0.25">
      <c r="B266" s="1" t="str">
        <f>'[1]Калькуляция САД'!C1371</f>
        <v>Компот из яблок и груш</v>
      </c>
      <c r="C266" s="7">
        <f>'[1]Калькуляция САД'!G1372*1.25</f>
        <v>187.5</v>
      </c>
      <c r="D266" s="12">
        <f>0.2</f>
        <v>0.2</v>
      </c>
      <c r="E266" s="12">
        <v>0.2</v>
      </c>
      <c r="F266" s="12">
        <f>10.5+2.1+2</f>
        <v>14.6</v>
      </c>
      <c r="G266" s="12">
        <f>41+11+9</f>
        <v>61</v>
      </c>
      <c r="H266" s="1" t="s">
        <v>12</v>
      </c>
    </row>
    <row r="267" spans="1:8" x14ac:dyDescent="0.25">
      <c r="B267" s="9" t="s">
        <v>11</v>
      </c>
      <c r="C267" s="11">
        <f>'[1]Калькуляция ШК'!G1409</f>
        <v>120</v>
      </c>
      <c r="D267" s="11">
        <f>6.1+3.8</f>
        <v>9.8999999999999986</v>
      </c>
      <c r="E267" s="11">
        <f>9.2</f>
        <v>9.1999999999999993</v>
      </c>
      <c r="F267" s="11">
        <f>35.9+0.1</f>
        <v>36</v>
      </c>
      <c r="G267" s="11">
        <f>175+37+53</f>
        <v>265</v>
      </c>
      <c r="H267" s="4" t="s">
        <v>10</v>
      </c>
    </row>
    <row r="268" spans="1:8" x14ac:dyDescent="0.25">
      <c r="A268" s="1" t="s">
        <v>9</v>
      </c>
      <c r="B268" s="1" t="s">
        <v>8</v>
      </c>
      <c r="C268" s="8">
        <f>'[1]Калькуляция САД'!G1378*1.25</f>
        <v>187.5</v>
      </c>
      <c r="D268" s="10">
        <f>2.8+1.3+2.9+0.1</f>
        <v>7.1</v>
      </c>
      <c r="E268" s="10">
        <f>2.4+1.3+0.2+1.7</f>
        <v>5.6000000000000005</v>
      </c>
      <c r="F268" s="10">
        <f>0.2+1.7+32.8+0.1+21</f>
        <v>55.8</v>
      </c>
      <c r="G268" s="10">
        <f>35+24+145+15+81</f>
        <v>300</v>
      </c>
      <c r="H268" s="1" t="s">
        <v>7</v>
      </c>
    </row>
    <row r="269" spans="1:8" x14ac:dyDescent="0.25">
      <c r="B269" s="4" t="str">
        <f>'[1]Калькуляция САД'!C1385</f>
        <v>Чай зеленый с лимоном</v>
      </c>
      <c r="C269" s="5">
        <f>'[1]Калькуляция САД'!G1386*1.25</f>
        <v>187.5</v>
      </c>
      <c r="D269" s="5">
        <v>0</v>
      </c>
      <c r="E269" s="5">
        <v>0</v>
      </c>
      <c r="F269" s="5">
        <v>0</v>
      </c>
      <c r="G269" s="5">
        <v>3</v>
      </c>
      <c r="H269" s="9" t="s">
        <v>6</v>
      </c>
    </row>
    <row r="270" spans="1:8" ht="30" x14ac:dyDescent="0.25">
      <c r="A270" s="1" t="s">
        <v>5</v>
      </c>
      <c r="B270" s="1" t="s">
        <v>4</v>
      </c>
      <c r="C270" s="7">
        <f>'[1]Калькуляция САД'!G1390*1.25</f>
        <v>375</v>
      </c>
      <c r="D270" s="8">
        <f>0.3+0.3+9.2+6.5+0.3</f>
        <v>16.599999999999998</v>
      </c>
      <c r="E270" s="8">
        <f>3+1.5+5+5</f>
        <v>14.5</v>
      </c>
      <c r="F270" s="8">
        <f>2.1+1.4+31+1.1</f>
        <v>35.6</v>
      </c>
      <c r="G270" s="8">
        <f>8+6+81+165+45*2+5</f>
        <v>355</v>
      </c>
      <c r="H270" s="1" t="s">
        <v>3</v>
      </c>
    </row>
    <row r="271" spans="1:8" x14ac:dyDescent="0.25">
      <c r="B271" s="1" t="str">
        <f>'[1]Калькуляция САД'!C1398</f>
        <v>Овощи свежие</v>
      </c>
      <c r="C271" s="7">
        <f>'[1]Калькуляция САД'!G1399*1.25</f>
        <v>106.25</v>
      </c>
      <c r="D271" s="7">
        <v>0.7</v>
      </c>
      <c r="E271" s="7">
        <v>0.1</v>
      </c>
      <c r="F271" s="7">
        <v>3.5</v>
      </c>
      <c r="G271" s="7">
        <v>17</v>
      </c>
      <c r="H271" s="6" t="s">
        <v>2</v>
      </c>
    </row>
    <row r="272" spans="1:8" x14ac:dyDescent="0.25">
      <c r="A272" s="4"/>
      <c r="B272" s="4" t="str">
        <f>'[1]Калькуляция САД'!C1402</f>
        <v>Чай зеленый</v>
      </c>
      <c r="C272" s="5">
        <f>'[1]Калькуляция САД'!G1402*1.25</f>
        <v>187.5</v>
      </c>
      <c r="D272" s="5">
        <v>0</v>
      </c>
      <c r="E272" s="5">
        <v>0</v>
      </c>
      <c r="F272" s="5">
        <v>0</v>
      </c>
      <c r="G272" s="5">
        <v>1</v>
      </c>
      <c r="H272" s="4" t="s">
        <v>1</v>
      </c>
    </row>
    <row r="273" spans="1:8" ht="30" x14ac:dyDescent="0.25">
      <c r="A273" s="2" t="s">
        <v>0</v>
      </c>
      <c r="B273" s="2"/>
      <c r="C273" s="3">
        <f>SUM(C258:C272)</f>
        <v>2386.2750000000001</v>
      </c>
      <c r="D273" s="3">
        <f>SUM(D258:D272)</f>
        <v>60.899999999999991</v>
      </c>
      <c r="E273" s="3">
        <f>SUM(E258:E272)</f>
        <v>61.400000000000006</v>
      </c>
      <c r="F273" s="3">
        <f>SUM(F258:F272)</f>
        <v>282.8</v>
      </c>
      <c r="G273" s="3">
        <f>SUM(G258:G272)</f>
        <v>1944.5</v>
      </c>
      <c r="H273" s="2"/>
    </row>
  </sheetData>
  <mergeCells count="26">
    <mergeCell ref="F4:H4"/>
    <mergeCell ref="A222:H222"/>
    <mergeCell ref="A239:H239"/>
    <mergeCell ref="A257:H257"/>
    <mergeCell ref="A115:H115"/>
    <mergeCell ref="A133:H133"/>
    <mergeCell ref="A150:H150"/>
    <mergeCell ref="A168:H168"/>
    <mergeCell ref="A187:H187"/>
    <mergeCell ref="A205:H205"/>
    <mergeCell ref="A97:H97"/>
    <mergeCell ref="A1:H1"/>
    <mergeCell ref="A6:A7"/>
    <mergeCell ref="B6:B7"/>
    <mergeCell ref="C6:C7"/>
    <mergeCell ref="D6:F6"/>
    <mergeCell ref="G6:G7"/>
    <mergeCell ref="H6:H7"/>
    <mergeCell ref="A8:H8"/>
    <mergeCell ref="A26:H26"/>
    <mergeCell ref="A43:H43"/>
    <mergeCell ref="A61:H61"/>
    <mergeCell ref="A79:H79"/>
    <mergeCell ref="F2:H2"/>
    <mergeCell ref="F3:H3"/>
    <mergeCell ref="F5:H5"/>
  </mergeCells>
  <pageMargins left="0.23622047244094491" right="0.23622047244094491" top="0.74803149606299213" bottom="0.74803149606299213" header="0.31496062992125984" footer="0.31496062992125984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2026-10-09T15:21:35Z</dcterms:created>
  <dcterms:modified xsi:type="dcterms:W3CDTF">2026-10-12T07:20:34Z</dcterms:modified>
</cp:coreProperties>
</file>